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Ejecucion junio 2026" sheetId="9" r:id="rId1"/>
    <sheet name="Ejecucion junio 2026 (2)" sheetId="27" state="hidden" r:id="rId2"/>
    <sheet name="Hoja5" sheetId="25" state="hidden" r:id="rId3"/>
    <sheet name="Hoja6" sheetId="26" state="hidden" r:id="rId4"/>
    <sheet name="ENERO" sheetId="7" state="hidden" r:id="rId5"/>
    <sheet name="MARZO 2022" sheetId="5" state="hidden" r:id="rId6"/>
    <sheet name="Mayo 2022" sheetId="10" state="hidden" r:id="rId7"/>
    <sheet name="JULIO 2022" sheetId="11" state="hidden" r:id="rId8"/>
    <sheet name="NOVIEMBRE" sheetId="12" state="hidden" r:id="rId9"/>
    <sheet name="Ejecucion Mensual Diciembre2025" sheetId="14" state="hidden" r:id="rId10"/>
    <sheet name="Hoja3" sheetId="23" state="hidden" r:id="rId11"/>
    <sheet name="Hoja4" sheetId="24" state="hidden" r:id="rId12"/>
    <sheet name="Ejecucion Mensual Diciembre 25" sheetId="21" state="hidden" r:id="rId13"/>
    <sheet name="Hoja2" sheetId="22" state="hidden" r:id="rId14"/>
    <sheet name="Ejecucion Mensual Octubre 2 (2)" sheetId="20" state="hidden" r:id="rId15"/>
    <sheet name="Ejecucion Mensual Sept 2025 (2)" sheetId="16" state="hidden" r:id="rId16"/>
    <sheet name="2023 presupuesto" sheetId="15" state="hidden" r:id="rId17"/>
    <sheet name="MARZO" sheetId="8" state="hidden" r:id="rId18"/>
    <sheet name="Hoja1" sheetId="4" state="hidden" r:id="rId19"/>
  </sheets>
  <definedNames>
    <definedName name="_xlnm._FilterDatabase" localSheetId="18" hidden="1">Hoja1!$E$3:$G$3</definedName>
    <definedName name="_xlnm.Print_Area" localSheetId="16">'2023 presupuesto'!$A$1:$D$62</definedName>
    <definedName name="_xlnm.Print_Area" localSheetId="0">'Ejecucion junio 2026'!$A$1:$K$102</definedName>
    <definedName name="_xlnm.Print_Area" localSheetId="1">'Ejecucion junio 2026 (2)'!$A$1:$K$102</definedName>
    <definedName name="_xlnm.Print_Area" localSheetId="12">'Ejecucion Mensual Diciembre 25'!$B$1:$AC$99</definedName>
    <definedName name="_xlnm.Print_Area" localSheetId="9">'Ejecucion Mensual Diciembre2025'!$B$1:$Q$101</definedName>
    <definedName name="_xlnm.Print_Area" localSheetId="14">'Ejecucion Mensual Octubre 2 (2)'!$B$1:$AB$99</definedName>
    <definedName name="_xlnm.Print_Area" localSheetId="15">'Ejecucion Mensual Sept 2025 (2)'!$B$1:$N$99</definedName>
    <definedName name="_xlnm.Print_Area" localSheetId="4">ENERO!$B$1:$Q$96</definedName>
    <definedName name="_xlnm.Print_Area" localSheetId="7">'JULIO 2022'!$A$1:$Q$100</definedName>
    <definedName name="_xlnm.Print_Area" localSheetId="17">MARZO!$A$1:$Q$102</definedName>
    <definedName name="_xlnm.Print_Area" localSheetId="5">'MARZO 2022'!$A$1:$Q$98</definedName>
    <definedName name="_xlnm.Print_Area" localSheetId="6">'Mayo 2022'!$A$1:$Q$98</definedName>
    <definedName name="_xlnm.Print_Area" localSheetId="8">NOVIEMBRE!$A$1:$Q$100</definedName>
    <definedName name="_xlnm.Print_Titles" localSheetId="12">'Ejecucion Mensual Diciembre 25'!$1:$8</definedName>
    <definedName name="_xlnm.Print_Titles" localSheetId="9">'Ejecucion Mensual Diciembre2025'!$1:$8</definedName>
    <definedName name="_xlnm.Print_Titles" localSheetId="14">'Ejecucion Mensual Octubre 2 (2)'!$1:$8</definedName>
    <definedName name="_xlnm.Print_Titles" localSheetId="15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<sst xmlns="http://schemas.openxmlformats.org/spreadsheetml/2006/main" count="2239" uniqueCount="266">
  <si>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</si>
  <si>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</si>
  <si>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</si>
  <si>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</si>
  <si>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</si>
  <si>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</si>
  <si>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</si>
  <si>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</si>
  <si>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>Enero</t>
  </si>
  <si>
    <t>Febrero</t>
  </si>
  <si>
    <t>Marzo</t>
  </si>
  <si>
    <t>Abril</t>
  </si>
  <si>
    <t>Mayo</t>
  </si>
  <si>
    <t>Junio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</si>
  <si>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</si>
  <si>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</si>
  <si>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</si>
  <si>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</si>
  <si>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</si>
  <si>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</si>
  <si>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</si>
  <si>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</si>
  <si>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</si>
  <si>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</si>
  <si>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</si>
  <si>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</si>
  <si>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</si>
  <si>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</si>
  <si>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</si>
  <si>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</si>
  <si>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</si>
  <si>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</si>
  <si>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</si>
  <si>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</si>
  <si>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</si>
  <si>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</si>
  <si>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</si>
  <si>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</si>
  <si>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</si>
  <si>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</si>
  <si>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</si>
  <si>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</si>
  <si>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</si>
  <si>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</si>
  <si>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</si>
  <si>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</si>
  <si>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</si>
  <si>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</si>
  <si>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</si>
  <si>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</si>
  <si>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</si>
  <si>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</si>
  <si>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</si>
  <si>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</si>
  <si>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</si>
  <si>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</si>
  <si>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</si>
  <si>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</si>
  <si>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</si>
  <si>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</si>
  <si>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</si>
  <si>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</si>
  <si>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</si>
  <si>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</si>
  <si>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</si>
  <si>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</si>
  <si>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</si>
  <si>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</si>
  <si>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</si>
  <si>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</si>
  <si>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</si>
  <si>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</si>
  <si>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</si>
  <si>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</si>
  <si>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</si>
  <si>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</si>
  <si>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</si>
  <si>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</si>
  <si>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</si>
  <si>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</si>
  <si>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</si>
  <si>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</si>
  <si>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</si>
  <si>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</si>
  <si>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</si>
  <si>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</si>
  <si>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</si>
  <si>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</si>
  <si>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</si>
  <si>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Nota: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</si>
  <si>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</si>
  <si>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</si>
  <si>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</si>
  <si>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</si>
  <si>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</si>
  <si>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</si>
  <si>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>Fuente: SIGEF
Presupuesto aprobado: Se refiere al prepuesto aprobado en Ley de Presupuesto General del Estado
Presupuesto modificado: Se refiere al presupuesto aprobado en caso de que el Congreso Nacional apruebe 
Un presupuesto complementario.
Total devengado: Son los recursos financieros que surge con la obligación de pago por la recepción de conformidad
de obras, bienes y servicios oportunamente contratados o, en los casos de gastos sin contraprestación, por haberse 
Cumplido los requisitos administrativos dispuestos por el reglamento de la presente Ley.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</si>
  <si>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</si>
  <si>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</si>
  <si>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</si>
  <si>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                          Licda. Cecilia Rodriguez G.</t>
  </si>
  <si>
    <t>Licdo. Dagoberto Ovalles M.</t>
  </si>
  <si>
    <t xml:space="preserve">              Encda. De Presupuesto (Interina)                                       </t>
  </si>
  <si>
    <t xml:space="preserve">                                   Encargado Financiero</t>
  </si>
  <si>
    <t>Licdo. Victor Ismael Vasquez I.</t>
  </si>
  <si>
    <t>Subdirector y Director Administrativo Financiero</t>
  </si>
  <si>
    <t>exceptuendo</t>
  </si>
  <si>
    <t>Monto Total</t>
  </si>
  <si>
    <t>MODIFICACION PARA EL FONDO REPONIBLE</t>
  </si>
  <si>
    <t>MONTO A MODIFICAR SEGÚN SOLICITUD</t>
  </si>
  <si>
    <t>2% SEGÚN LEY NO EXCEDER</t>
  </si>
  <si>
    <t>MONTO DE SOLICITUD</t>
  </si>
  <si>
    <t xml:space="preserve">Ejecución de Gasto y Aplicaciones financieras </t>
  </si>
  <si>
    <t xml:space="preserve">Gasto devengado </t>
  </si>
  <si>
    <t xml:space="preserve">Enero 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</si>
  <si>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</si>
  <si>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</si>
  <si>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</si>
  <si>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</si>
  <si>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</si>
  <si>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</si>
  <si>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</si>
  <si>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 xml:space="preserve"> </t>
  </si>
  <si>
    <t>2.5.1 - TRANSFERENCIAS DE CAPITAL AL SECTOR PRIVADO</t>
  </si>
  <si>
    <t>NOTAS:</t>
  </si>
  <si>
    <t xml:space="preserve">                                Licda. Milquelys Casado</t>
  </si>
  <si>
    <t>Licdo. Manuel G Florian</t>
  </si>
  <si>
    <t>Analista</t>
  </si>
  <si>
    <t xml:space="preserve"> Encargado Financiero</t>
  </si>
  <si>
    <t>Licda. Cecilia Rodriguez G.</t>
  </si>
  <si>
    <t>Auxiliar</t>
  </si>
  <si>
    <t xml:space="preserve">                   Analista</t>
  </si>
  <si>
    <t>Encargado Financiero</t>
  </si>
  <si>
    <t>Licda. Miquelys Casado</t>
  </si>
  <si>
    <t>Agosto</t>
  </si>
  <si>
    <t>Noviembre</t>
  </si>
  <si>
    <r>
      <rPr>
        <sz val="14"/>
        <color rgb="FF000000"/>
        <rFont val="Calibri"/>
        <charset val="134"/>
      </rPr>
      <t xml:space="preserve">*Se presenta una diferencia con este reporte y  el reporte del </t>
    </r>
    <r>
      <rPr>
        <b/>
        <sz val="14"/>
        <color theme="1"/>
        <rFont val="Calibri"/>
        <charset val="134"/>
      </rPr>
      <t>SIGEF</t>
    </r>
    <r>
      <rPr>
        <sz val="14"/>
        <color theme="1"/>
        <rFont val="Calibri"/>
        <charset val="134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charset val="134"/>
      </rPr>
      <t>2025</t>
    </r>
    <r>
      <rPr>
        <sz val="14"/>
        <color theme="1"/>
        <rFont val="Calibri"/>
        <charset val="134"/>
      </rPr>
      <t>.</t>
    </r>
  </si>
  <si>
    <t>Encargado de Presupuesto (Interina)</t>
  </si>
  <si>
    <t>Licdo. Victor I. Vasquez</t>
  </si>
  <si>
    <t>Director Administrativo Financiero</t>
  </si>
  <si>
    <t>Partida</t>
  </si>
  <si>
    <t>Inst:2025-0204-01-0002 Prg:12-02-00-0001 Fxp:2087 OF:112 CCP:2.3.9.6.01 FN:1.2.01 UG:98-99-9999 Obj:00000 IR:0000 Snip:N/A Tip: Ax. Prog:0000</t>
  </si>
  <si>
    <t>    </t>
  </si>
  <si>
    <t>Presupuestado</t>
  </si>
  <si>
    <t>No Presupuestado</t>
  </si>
  <si>
    <t>Institucional</t>
  </si>
  <si>
    <t>Moneda</t>
  </si>
  <si>
    <t>Nacional</t>
  </si>
  <si>
    <t>Consumido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</si>
  <si>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</si>
  <si>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</si>
  <si>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</si>
  <si>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</si>
  <si>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nst:2025-0204-01-0002 Prg:12-02-00-0001 Fxp:2087 OF:112 CCP:2.3.9.1.01 FN:1.2.01 UG:98-99-9999 Obj:00000 IR:0000 Snip:N/A Tip: Ax. Prog:0000</t>
  </si>
  <si>
    <t>Inst:2025-0204-01-0002 Prg:12-02-00-0001 Fxp:2087 OF:112 CCP:2.3.2.3.01 FN:1.2.01 UG:98-99-9999 Obj:00000 IR:0000 Snip:N/A Tip: Ax. Prog:0000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</si>
  <si>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</si>
  <si>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</si>
  <si>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Inst:2025-0204-01-0002 Prg:12-02-00-0001 Fxp:2087 OF:112 CCP:2.2.8.7.06 FN:1.2.01 UG:98-99-9999 Obj:00000 IR:0000 Snip:N/A Tip: Ax. Prog:0000</t>
  </si>
  <si>
    <t>Inst:2025-0204-01-0002 Prg:12-02-00-0001 Fxp:2087 OF:112 CCP:2.2.7.2.08 FN:1.2.01 UG:98-99-9999 Obj:00000 IR:0000 Snip:N/A Tip: Ax. Prog:0000</t>
  </si>
  <si>
    <t>Inst:2025-0204-01-0002 Prg:12-02-00-0001 Fxp:2087 OF:112 CCP:2.2.4.1.01 FN:1.2.01 UG:98-99-9999 Obj:00000 IR:0000 Snip:N/A Tip: Ax. Prog:0033</t>
  </si>
  <si>
    <t>nst:2025-0204-01-0002 Prg:12-02-00-0001 Fxp:2087 OF:112 CCP:2.2.8.5.01 FN:1.2.01 UG:98-99-9999 Obj:00000 IR:0000 Snip:N/A Tip: Ax. Prog:0000</t>
  </si>
  <si>
    <t>Inst:2025-0204-01-0002 Prg:12-02-00-0001 Fxp:2087 OF:112 CCP:2.3.1.1.01 FN:1.2.01 UG:98-99-9999 Obj:00000 IR:0000 Snip:N/A Tip: Ax. Prog:0000</t>
  </si>
  <si>
    <t>nst:2025-0204-01-0002 Prg:12-02-00-0001 Fxp:2087 OF:112 CCP:2.2.7.2.06 FN:1.2.01 UG:98-99-9999 Obj:00000 IR:0000 Snip:N/A Tip: Ax. Prog:0000</t>
  </si>
  <si>
    <t>Inst:2025-0204-01-0002 Prg:12-02-00-0001 Fxp:2087 OF:112 CCP:2.2.8.3.01 FN:1.2.01 UG:98-99-9999 Obj:00000 IR:0000 Snip:N/A Tip: Ax. Prog:0000</t>
  </si>
  <si>
    <t>Inst:2025-0204-01-0002 Prg:12-02-00-0001 Fxp:2087 OF:112 CCP:2.2.8.5.03 FN:1.2.01 UG:98-99-9999 Obj:00000 IR:0000 Snip:N/A Tip: Ax. Prog:0000</t>
  </si>
  <si>
    <t>Inst:2025-0204-01-0002 Prg:12-02-00-0001 Fxp:2087 OF:112 CCP:2.2.9.1.01 FN:1.2.01 UG:98-99-9999 Obj:00000 IR:0000 Snip:N/A Tip: Ax. Prog:0000</t>
  </si>
  <si>
    <t>nst:2025-0204-01-0002 Prg:12-02-00-0001 Fxp:2087 OF:112 CCP:2.2.7.2.08 FN:1.2.01 UG:98-99-9999 Obj:00000 IR:0000 Snip:N/A Tip: Ax. Prog:0000</t>
  </si>
  <si>
    <t>Inst:2025-0204-01-0002 Prg:12-02-00-0001 Fxp:2087 OF:112 CCP:2.6.1.4.01 FN:1.2.01 UG:98-99-9999 Obj:00000 IR:0000 Snip:N/A Tip: Ax. Prog:0000</t>
  </si>
  <si>
    <t>nst:2025-0204-01-0002 Prg:12-02-00-0001 Fxp:2087 OF:112 CCP:2.2.5.3.02 FN:1.2.01 UG:98-99-9999 Obj:00000 IR:0000 Snip:N/A Tip: Ax. Prog:0000</t>
  </si>
  <si>
    <t>Inst:2025-0204-01-0002 Prg:12-02-00-0001 Fxp:2087 OF:112 CCP:2.6.1.1.01 FN:1.2.01 UG:98-99-9999 Obj:00000 IR:0000 Snip:N/A Tip: Ax. Prog:0000</t>
  </si>
  <si>
    <t>Inst:2025-0204-01-0002 Prg:12-02-00-0001 Fxp:2087 OF:112 CCP:2.3.9.9.05 FN:1.2.01 UG:98-99-9999 Obj:00000 IR:0000 Snip:N/A Tip: Ax. Prog:0000</t>
  </si>
  <si>
    <t>Inst:2025-0204-01-0002 Prg:12-02-00-0001 Fxp:2087 OF:112 CCP:2.2.8.7.04 FN:1.2.01 UG:98-99-9999 Obj:00000 IR:0000 Snip:N/A Tip: Ax. Prog:0000</t>
  </si>
  <si>
    <t>Inst:2025-0204-01-0002 Prg:12-02-00-0001 Fxp:2087 OF:112 CCP:2.2.2.2.01 FN:1.2.01 UG:98-99-9999 Obj:00000 IR:0000 Snip:N/A Tip: Ax. Prog:0000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</si>
  <si>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</si>
  <si>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</si>
  <si>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</si>
  <si>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</si>
  <si>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</si>
  <si>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</si>
  <si>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</si>
  <si>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Inst:2025-0204-01-0002 Prg:12-02-00-0001 Fxp:2087 OF:112 CCP:2.6.6.2.01 FN:1.2.01 UG:98-99-9999 Obj:00000 IR:0000 Snip:N/A Tip: Ax. Prog:0000</t>
  </si>
  <si>
    <t>Inst:2025-0204-01-0002 Prg:12-02-00-0001 Fxp:2087 OF:112 CCP:2.3.1.3.03 FN:1.2.01 UG:98-99-9999 Obj:00000 IR:0000 Snip:N/A Tip: Ax. Prog:0000</t>
  </si>
  <si>
    <t>nst:2025-0204-01-0002 Prg:12-02-00-0001 Fxp:2087 OF:112 CCP:2.2.8.7.05 FN:1.2.01 UG:98-99-9999 Obj:00000 IR:0000 Snip:N/A Tip: Ax. Prog:0000</t>
  </si>
  <si>
    <t>Inst:2025-0204-01-0002 Prg:12-02-00-0001 Fxp:2087 OF:112 CCP:2.6.1.3.01 FN:1.2.01 UG:98-99-9999 Obj:00000 IR:0000 Snip:N/A Tip: Ax. Prog:0000</t>
  </si>
  <si>
    <t>nst:2025-0204-01-0002 Prg:12-02-00-0001 Fxp:2087 OF:112 CCP:2.3.7.1.02 FN:1.2.01 UG:98-99-9999 Obj:00000 IR:0000 Snip:N/A Tip: Ax. Prog:0015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</si>
  <si>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</si>
  <si>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</si>
  <si>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</si>
  <si>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Inst:2025-0204-01-0002 Prg:12-02-00-0001 Fxp:2087 OF:112 CCP:2.3.7.1.02 FN:1.2.01 UG:98-99-9999 Obj:00000 IR:0000 Snip:N/A Tip: Ax. Prog:0015</t>
  </si>
  <si>
    <t>2.2.2.2.01</t>
  </si>
  <si>
    <t>2.2.2</t>
  </si>
  <si>
    <t>2.2.4.1.01</t>
  </si>
  <si>
    <t>2.2.4</t>
  </si>
  <si>
    <t>2.2.5.3.02</t>
  </si>
  <si>
    <t>2.2.5</t>
  </si>
  <si>
    <t>2.2.7.2.08</t>
  </si>
  <si>
    <t>2.2.7</t>
  </si>
  <si>
    <t>2.2.7.2.06</t>
  </si>
  <si>
    <t>:2.2.7.2.08</t>
  </si>
  <si>
    <t>2.2.8.7.06</t>
  </si>
  <si>
    <t>2.2.8</t>
  </si>
  <si>
    <t>2.2.8.5.01</t>
  </si>
  <si>
    <t>2.2.8.3.01</t>
  </si>
  <si>
    <t>2.2.8.5.03</t>
  </si>
  <si>
    <t>2.2.8.7.04</t>
  </si>
  <si>
    <t>2.2.8.7.05</t>
  </si>
  <si>
    <t>2.2.9.2.01</t>
  </si>
  <si>
    <t>2.2.9</t>
  </si>
  <si>
    <t>2.2.9.1.01</t>
  </si>
  <si>
    <t>2.2.9.2.03</t>
  </si>
  <si>
    <t>2.3.1.1.01</t>
  </si>
  <si>
    <t>2.3.1</t>
  </si>
  <si>
    <t>2.3.1.3.03</t>
  </si>
  <si>
    <t>2.3.2.3.01</t>
  </si>
  <si>
    <t>2.3.2</t>
  </si>
  <si>
    <t>2.3.2.2.01</t>
  </si>
  <si>
    <t>2.3.3.1.01</t>
  </si>
  <si>
    <t>2.3.3</t>
  </si>
  <si>
    <t>2.3.5.3.01</t>
  </si>
  <si>
    <t>2.3.5</t>
  </si>
  <si>
    <t>2.3.7.1.02</t>
  </si>
  <si>
    <t>2.3.7</t>
  </si>
  <si>
    <t xml:space="preserve">2.3.7.1.02 </t>
  </si>
  <si>
    <t>2.3.9.6.01</t>
  </si>
  <si>
    <t>2.3.9</t>
  </si>
  <si>
    <t>2.3.9.8.01</t>
  </si>
  <si>
    <t>2.3.9.8.02</t>
  </si>
  <si>
    <t>2.3.9.2.01</t>
  </si>
  <si>
    <t>2.3.9.1.01</t>
  </si>
  <si>
    <t xml:space="preserve">2.3.9.8.02 </t>
  </si>
  <si>
    <t>:2.3.9.9.05</t>
  </si>
  <si>
    <t>2.3.9.9.05</t>
  </si>
  <si>
    <t>2.6.1.4.01</t>
  </si>
  <si>
    <t>2.6.1</t>
  </si>
  <si>
    <t>:2.6.1.1.01</t>
  </si>
  <si>
    <t>2.6.1.1.01</t>
  </si>
  <si>
    <t>2.6.1.3.01</t>
  </si>
  <si>
    <t>2.6.6.2.01</t>
  </si>
  <si>
    <t>2.6.6</t>
  </si>
  <si>
    <t>2.6.8.3.01</t>
  </si>
  <si>
    <t>2.6.8</t>
  </si>
  <si>
    <t>OCTUBRE</t>
  </si>
  <si>
    <t>NOVIEMBRE</t>
  </si>
  <si>
    <t>DICIEMBRE</t>
  </si>
  <si>
    <t>DEPARTAMENTO FINANCIERO</t>
  </si>
  <si>
    <t>DIVISION DE PRESUPUESTO</t>
  </si>
  <si>
    <t>Techo Presupuestario</t>
  </si>
  <si>
    <t>Presupuesto POA</t>
  </si>
  <si>
    <t>DIFERENCIA</t>
  </si>
  <si>
    <t>Presupuesto Comprometido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</si>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</sst>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.0_);_(* \(#,##0.0\);_(* &quot;-&quot;??_);_(@_)"/>
  </numFmts>
  <fonts count="58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sz val="13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rgb="FF00000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6"/>
      <color theme="0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5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5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3"/>
      <color theme="0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20"/>
      <color theme="0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sz val="11"/>
      <color rgb="FF000000"/>
      <name val="Calibri"/>
      <charset val="134"/>
      <scheme val="minor"/>
    </font>
    <font>
      <sz val="11"/>
      <color rgb="FFEEEEEE"/>
      <name val="Arial"/>
      <charset val="134"/>
    </font>
    <font>
      <sz val="11"/>
      <color rgb="FF000066"/>
      <name val="Arial"/>
      <charset val="134"/>
    </font>
    <font>
      <sz val="10"/>
      <color rgb="FF000066"/>
      <name val="Arial"/>
      <charset val="134"/>
    </font>
    <font>
      <sz val="11"/>
      <color rgb="FFCCCCCC"/>
      <name val="Arial"/>
      <charset val="134"/>
    </font>
    <font>
      <sz val="11"/>
      <color rgb="FF1F497D"/>
      <name val="Calibri"/>
      <charset val="134"/>
      <scheme val="minor"/>
    </font>
    <font>
      <sz val="11"/>
      <color theme="1"/>
      <name val="Arial"/>
      <charset val="134"/>
    </font>
    <font>
      <sz val="12"/>
      <color rgb="FF58595B"/>
      <name val="Arial"/>
      <charset val="134"/>
    </font>
    <font>
      <b/>
      <sz val="12"/>
      <color rgb="FF58595B"/>
      <name val="Arial"/>
      <charset val="134"/>
    </font>
    <font>
      <sz val="26"/>
      <color rgb="FF000000"/>
      <name val="Calibri"/>
      <charset val="134"/>
      <scheme val="minor"/>
    </font>
    <font>
      <sz val="18"/>
      <color rgb="FF000000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3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Calibri"/>
      <charset val="134"/>
    </font>
    <font>
      <sz val="14"/>
      <color theme="1"/>
      <name val="Calibr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theme="4" tint="-0.249977111117893"/>
        <bgColor theme="4" tint="0.79995117038483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5"/>
        <bgColor theme="4" tint="0.799951170384838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7">
    <border>
      <left/>
      <right/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45066682943"/>
      </bottom>
      <diagonal/>
    </border>
    <border>
      <left/>
      <right/>
      <top style="thin">
        <color theme="4" tint="0.399945066682943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ECECE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1" borderId="49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50" applyNumberFormat="0" applyFill="0" applyAlignment="0" applyProtection="0">
      <alignment vertical="center"/>
    </xf>
    <xf numFmtId="0" fontId="43" fillId="0" borderId="50" applyNumberFormat="0" applyFill="0" applyAlignment="0" applyProtection="0">
      <alignment vertical="center"/>
    </xf>
    <xf numFmtId="0" fontId="44" fillId="0" borderId="5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12" borderId="52" applyNumberFormat="0" applyAlignment="0" applyProtection="0">
      <alignment vertical="center"/>
    </xf>
    <xf numFmtId="0" fontId="46" fillId="13" borderId="53" applyNumberFormat="0" applyAlignment="0" applyProtection="0">
      <alignment vertical="center"/>
    </xf>
    <xf numFmtId="0" fontId="47" fillId="13" borderId="52" applyNumberFormat="0" applyAlignment="0" applyProtection="0">
      <alignment vertical="center"/>
    </xf>
    <xf numFmtId="0" fontId="48" fillId="14" borderId="54" applyNumberFormat="0" applyAlignment="0" applyProtection="0">
      <alignment vertical="center"/>
    </xf>
    <xf numFmtId="0" fontId="49" fillId="0" borderId="55" applyNumberFormat="0" applyFill="0" applyAlignment="0" applyProtection="0">
      <alignment vertical="center"/>
    </xf>
    <xf numFmtId="0" fontId="50" fillId="0" borderId="56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</cellStyleXfs>
  <cellXfs count="210">
    <xf numFmtId="0" fontId="0" fillId="0" borderId="0" xfId="0"/>
    <xf numFmtId="4" fontId="1" fillId="2" borderId="1" xfId="0" applyNumberFormat="1" applyFont="1" applyFill="1" applyBorder="1" applyAlignment="1">
      <alignment horizontal="right" vertical="center" wrapText="1"/>
    </xf>
    <xf numFmtId="43" fontId="1" fillId="2" borderId="1" xfId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3" fontId="1" fillId="2" borderId="2" xfId="1" applyFont="1" applyFill="1" applyBorder="1" applyAlignment="1">
      <alignment horizontal="right" vertical="center" wrapText="1"/>
    </xf>
    <xf numFmtId="43" fontId="1" fillId="2" borderId="3" xfId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43" fontId="0" fillId="0" borderId="0" xfId="1" applyFont="1"/>
    <xf numFmtId="4" fontId="0" fillId="0" borderId="0" xfId="0" applyNumberFormat="1"/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9" fillId="3" borderId="5" xfId="0" applyFont="1" applyFill="1" applyBorder="1" applyAlignment="1">
      <alignment horizontal="left" vertical="center"/>
    </xf>
    <xf numFmtId="43" fontId="9" fillId="3" borderId="5" xfId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43" fontId="9" fillId="3" borderId="9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0" fillId="0" borderId="11" xfId="0" applyFont="1" applyBorder="1" applyAlignment="1">
      <alignment horizontal="left"/>
    </xf>
    <xf numFmtId="43" fontId="11" fillId="0" borderId="11" xfId="1" applyFont="1" applyBorder="1" applyAlignment="1">
      <alignment horizontal="left" vertical="center" wrapText="1"/>
    </xf>
    <xf numFmtId="43" fontId="12" fillId="0" borderId="11" xfId="1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0" applyNumberFormat="1" applyFont="1"/>
    <xf numFmtId="0" fontId="2" fillId="0" borderId="0" xfId="0" applyFont="1" applyAlignment="1">
      <alignment horizontal="left"/>
    </xf>
    <xf numFmtId="43" fontId="13" fillId="0" borderId="0" xfId="1" applyFont="1" applyAlignment="1">
      <alignment vertical="center" wrapText="1"/>
    </xf>
    <xf numFmtId="43" fontId="14" fillId="0" borderId="0" xfId="1" applyFont="1"/>
    <xf numFmtId="43" fontId="14" fillId="0" borderId="0" xfId="1" applyFont="1" applyAlignment="1">
      <alignment vertical="center" wrapText="1"/>
    </xf>
    <xf numFmtId="43" fontId="14" fillId="0" borderId="0" xfId="0" applyNumberFormat="1" applyFont="1"/>
    <xf numFmtId="0" fontId="2" fillId="0" borderId="0" xfId="0" applyFont="1" applyAlignment="1">
      <alignment horizontal="left" wrapText="1"/>
    </xf>
    <xf numFmtId="0" fontId="14" fillId="0" borderId="0" xfId="0" applyFont="1"/>
    <xf numFmtId="43" fontId="12" fillId="0" borderId="0" xfId="1" applyFont="1"/>
    <xf numFmtId="0" fontId="10" fillId="0" borderId="0" xfId="0" applyFont="1" applyAlignment="1">
      <alignment horizontal="left" wrapText="1"/>
    </xf>
    <xf numFmtId="177" fontId="11" fillId="0" borderId="11" xfId="0" applyNumberFormat="1" applyFont="1" applyBorder="1"/>
    <xf numFmtId="43" fontId="12" fillId="0" borderId="11" xfId="1" applyFont="1" applyBorder="1"/>
    <xf numFmtId="177" fontId="12" fillId="0" borderId="11" xfId="0" applyNumberFormat="1" applyFont="1" applyBorder="1"/>
    <xf numFmtId="177" fontId="11" fillId="0" borderId="0" xfId="0" applyNumberFormat="1" applyFont="1"/>
    <xf numFmtId="177" fontId="13" fillId="0" borderId="0" xfId="0" applyNumberFormat="1" applyFont="1"/>
    <xf numFmtId="0" fontId="15" fillId="5" borderId="12" xfId="0" applyFont="1" applyFill="1" applyBorder="1" applyAlignment="1">
      <alignment vertical="center"/>
    </xf>
    <xf numFmtId="43" fontId="11" fillId="5" borderId="12" xfId="1" applyFont="1" applyFill="1" applyBorder="1"/>
    <xf numFmtId="43" fontId="12" fillId="5" borderId="12" xfId="1" applyFont="1" applyFill="1" applyBorder="1"/>
    <xf numFmtId="177" fontId="12" fillId="5" borderId="12" xfId="0" applyNumberFormat="1" applyFont="1" applyFill="1" applyBorder="1"/>
    <xf numFmtId="43" fontId="12" fillId="6" borderId="0" xfId="0" applyNumberFormat="1" applyFont="1" applyFill="1"/>
    <xf numFmtId="0" fontId="12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0" borderId="0" xfId="0" applyAlignment="1">
      <alignment horizontal="center"/>
    </xf>
    <xf numFmtId="0" fontId="19" fillId="3" borderId="5" xfId="0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9" xfId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left"/>
    </xf>
    <xf numFmtId="43" fontId="20" fillId="0" borderId="11" xfId="1" applyFont="1" applyBorder="1" applyAlignment="1">
      <alignment horizontal="left" vertical="center" wrapText="1"/>
    </xf>
    <xf numFmtId="0" fontId="21" fillId="0" borderId="0" xfId="0" applyFont="1"/>
    <xf numFmtId="0" fontId="20" fillId="0" borderId="0" xfId="0" applyFont="1" applyAlignment="1">
      <alignment horizontal="left"/>
    </xf>
    <xf numFmtId="43" fontId="20" fillId="0" borderId="0" xfId="1" applyFont="1" applyAlignment="1">
      <alignment vertical="center" wrapText="1"/>
    </xf>
    <xf numFmtId="43" fontId="21" fillId="0" borderId="0" xfId="1" applyFont="1"/>
    <xf numFmtId="43" fontId="21" fillId="0" borderId="0" xfId="0" applyNumberFormat="1" applyFont="1"/>
    <xf numFmtId="43" fontId="16" fillId="0" borderId="0" xfId="1" applyFont="1" applyAlignment="1">
      <alignment vertical="center" wrapText="1"/>
    </xf>
    <xf numFmtId="0" fontId="21" fillId="0" borderId="0" xfId="0" applyFont="1" applyAlignment="1">
      <alignment horizontal="left"/>
    </xf>
    <xf numFmtId="43" fontId="21" fillId="0" borderId="0" xfId="1" applyFont="1" applyAlignment="1">
      <alignment vertical="center" wrapText="1"/>
    </xf>
    <xf numFmtId="43" fontId="17" fillId="0" borderId="0" xfId="1" applyFont="1" applyAlignment="1">
      <alignment vertical="center" wrapText="1"/>
    </xf>
    <xf numFmtId="0" fontId="21" fillId="0" borderId="0" xfId="0" applyFont="1" applyAlignment="1">
      <alignment horizontal="left" wrapText="1"/>
    </xf>
    <xf numFmtId="43" fontId="17" fillId="0" borderId="0" xfId="1" applyFont="1"/>
    <xf numFmtId="0" fontId="19" fillId="5" borderId="12" xfId="0" applyFont="1" applyFill="1" applyBorder="1" applyAlignment="1">
      <alignment vertical="center"/>
    </xf>
    <xf numFmtId="43" fontId="20" fillId="5" borderId="12" xfId="1" applyFont="1" applyFill="1" applyBorder="1"/>
    <xf numFmtId="43" fontId="16" fillId="5" borderId="12" xfId="1" applyFont="1" applyFill="1" applyBorder="1"/>
    <xf numFmtId="43" fontId="16" fillId="0" borderId="0" xfId="1" applyFont="1"/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43" fontId="0" fillId="0" borderId="0" xfId="0" applyNumberFormat="1"/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horizontal="left" vertical="center"/>
    </xf>
    <xf numFmtId="43" fontId="9" fillId="3" borderId="16" xfId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left"/>
    </xf>
    <xf numFmtId="43" fontId="12" fillId="0" borderId="14" xfId="1" applyFont="1" applyBorder="1" applyAlignment="1">
      <alignment horizontal="left" vertical="center" wrapText="1"/>
    </xf>
    <xf numFmtId="43" fontId="12" fillId="0" borderId="14" xfId="1" applyFont="1" applyBorder="1" applyAlignment="1">
      <alignment vertical="center" wrapText="1"/>
    </xf>
    <xf numFmtId="0" fontId="2" fillId="0" borderId="14" xfId="0" applyFont="1" applyBorder="1" applyAlignment="1">
      <alignment horizontal="left"/>
    </xf>
    <xf numFmtId="43" fontId="14" fillId="0" borderId="14" xfId="1" applyFont="1" applyBorder="1" applyAlignment="1">
      <alignment vertical="center" wrapText="1"/>
    </xf>
    <xf numFmtId="43" fontId="14" fillId="0" borderId="14" xfId="0" applyNumberFormat="1" applyFont="1" applyBorder="1"/>
    <xf numFmtId="43" fontId="12" fillId="0" borderId="14" xfId="0" applyNumberFormat="1" applyFont="1" applyBorder="1"/>
    <xf numFmtId="0" fontId="2" fillId="0" borderId="14" xfId="0" applyFont="1" applyBorder="1" applyAlignment="1">
      <alignment horizontal="left" wrapText="1"/>
    </xf>
    <xf numFmtId="43" fontId="14" fillId="7" borderId="0" xfId="1" applyFont="1" applyFill="1" applyAlignment="1">
      <alignment vertical="center" wrapText="1"/>
    </xf>
    <xf numFmtId="0" fontId="10" fillId="0" borderId="14" xfId="0" applyFont="1" applyBorder="1" applyAlignment="1">
      <alignment horizontal="left" wrapText="1"/>
    </xf>
    <xf numFmtId="177" fontId="12" fillId="0" borderId="14" xfId="0" applyNumberFormat="1" applyFont="1" applyBorder="1"/>
    <xf numFmtId="177" fontId="14" fillId="0" borderId="14" xfId="0" applyNumberFormat="1" applyFont="1" applyBorder="1"/>
    <xf numFmtId="0" fontId="15" fillId="5" borderId="14" xfId="0" applyFont="1" applyFill="1" applyBorder="1" applyAlignment="1">
      <alignment vertical="center"/>
    </xf>
    <xf numFmtId="43" fontId="12" fillId="5" borderId="14" xfId="1" applyFont="1" applyFill="1" applyBorder="1"/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77" fontId="0" fillId="0" borderId="0" xfId="0" applyNumberFormat="1"/>
    <xf numFmtId="0" fontId="24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43" fontId="14" fillId="0" borderId="14" xfId="1" applyFont="1" applyBorder="1"/>
    <xf numFmtId="43" fontId="12" fillId="0" borderId="14" xfId="1" applyFont="1" applyBorder="1"/>
    <xf numFmtId="0" fontId="2" fillId="0" borderId="14" xfId="0" applyFont="1" applyBorder="1"/>
    <xf numFmtId="43" fontId="4" fillId="0" borderId="0" xfId="1" applyFont="1"/>
    <xf numFmtId="0" fontId="25" fillId="8" borderId="19" xfId="0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26" fillId="2" borderId="27" xfId="0" applyFont="1" applyFill="1" applyBorder="1" applyAlignment="1">
      <alignment horizontal="left" vertical="center" wrapText="1"/>
    </xf>
    <xf numFmtId="0" fontId="27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26" fillId="2" borderId="30" xfId="0" applyFont="1" applyFill="1" applyBorder="1" applyAlignment="1">
      <alignment horizontal="left" vertical="center" wrapText="1"/>
    </xf>
    <xf numFmtId="0" fontId="27" fillId="2" borderId="3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horizontal="right" vertical="center" wrapText="1"/>
    </xf>
    <xf numFmtId="0" fontId="26" fillId="2" borderId="34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0" fillId="2" borderId="35" xfId="0" applyFill="1" applyBorder="1"/>
    <xf numFmtId="0" fontId="0" fillId="2" borderId="36" xfId="0" applyFill="1" applyBorder="1"/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0" fillId="2" borderId="39" xfId="0" applyFill="1" applyBorder="1"/>
    <xf numFmtId="0" fontId="1" fillId="2" borderId="3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0" fillId="2" borderId="0" xfId="0" applyFill="1"/>
    <xf numFmtId="4" fontId="1" fillId="2" borderId="32" xfId="0" applyNumberFormat="1" applyFont="1" applyFill="1" applyBorder="1" applyAlignment="1">
      <alignment horizontal="right" vertical="center" wrapText="1"/>
    </xf>
    <xf numFmtId="4" fontId="1" fillId="2" borderId="33" xfId="0" applyNumberFormat="1" applyFont="1" applyFill="1" applyBorder="1" applyAlignment="1">
      <alignment horizontal="right" vertical="center" wrapText="1"/>
    </xf>
    <xf numFmtId="0" fontId="26" fillId="2" borderId="42" xfId="0" applyFont="1" applyFill="1" applyBorder="1" applyAlignment="1">
      <alignment horizontal="left" vertical="center" wrapText="1"/>
    </xf>
    <xf numFmtId="0" fontId="27" fillId="2" borderId="42" xfId="0" applyFont="1" applyFill="1" applyBorder="1" applyAlignment="1">
      <alignment horizontal="left" vertical="center" wrapText="1"/>
    </xf>
    <xf numFmtId="0" fontId="28" fillId="8" borderId="43" xfId="0" applyFont="1" applyFill="1" applyBorder="1" applyAlignment="1">
      <alignment vertical="center" wrapText="1"/>
    </xf>
    <xf numFmtId="0" fontId="28" fillId="8" borderId="44" xfId="0" applyFont="1" applyFill="1" applyBorder="1" applyAlignment="1">
      <alignment vertical="center" wrapText="1"/>
    </xf>
    <xf numFmtId="0" fontId="28" fillId="8" borderId="45" xfId="0" applyFont="1" applyFill="1" applyBorder="1" applyAlignment="1">
      <alignment vertical="center" wrapText="1"/>
    </xf>
    <xf numFmtId="0" fontId="28" fillId="8" borderId="46" xfId="0" applyFont="1" applyFill="1" applyBorder="1" applyAlignment="1">
      <alignment vertical="center" wrapText="1"/>
    </xf>
    <xf numFmtId="0" fontId="0" fillId="2" borderId="23" xfId="0" applyFill="1" applyBorder="1"/>
    <xf numFmtId="0" fontId="0" fillId="2" borderId="47" xfId="0" applyFill="1" applyBorder="1"/>
    <xf numFmtId="0" fontId="0" fillId="2" borderId="29" xfId="0" applyFill="1" applyBorder="1"/>
    <xf numFmtId="0" fontId="0" fillId="0" borderId="31" xfId="0" applyBorder="1"/>
    <xf numFmtId="0" fontId="0" fillId="0" borderId="35" xfId="0" applyBorder="1"/>
    <xf numFmtId="0" fontId="0" fillId="0" borderId="36" xfId="0" applyBorder="1"/>
    <xf numFmtId="177" fontId="12" fillId="0" borderId="0" xfId="0" applyNumberFormat="1" applyFont="1"/>
    <xf numFmtId="177" fontId="14" fillId="0" borderId="0" xfId="0" applyNumberFormat="1" applyFont="1"/>
    <xf numFmtId="0" fontId="1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14" xfId="0" applyFont="1" applyBorder="1" applyAlignment="1">
      <alignment horizontal="left"/>
    </xf>
    <xf numFmtId="43" fontId="16" fillId="0" borderId="14" xfId="1" applyFont="1" applyBorder="1" applyAlignment="1">
      <alignment vertical="center" wrapText="1"/>
    </xf>
    <xf numFmtId="0" fontId="17" fillId="0" borderId="14" xfId="0" applyFont="1" applyBorder="1" applyAlignment="1">
      <alignment horizontal="left"/>
    </xf>
    <xf numFmtId="43" fontId="17" fillId="0" borderId="14" xfId="1" applyFont="1" applyBorder="1" applyAlignment="1">
      <alignment vertical="center" wrapText="1"/>
    </xf>
    <xf numFmtId="0" fontId="30" fillId="9" borderId="0" xfId="0" applyFont="1" applyFill="1" applyAlignment="1">
      <alignment vertical="center" wrapText="1"/>
    </xf>
    <xf numFmtId="0" fontId="30" fillId="10" borderId="0" xfId="0" applyFont="1" applyFill="1" applyAlignment="1">
      <alignment vertical="center" wrapText="1"/>
    </xf>
    <xf numFmtId="0" fontId="31" fillId="9" borderId="0" xfId="0" applyFont="1" applyFill="1" applyAlignment="1">
      <alignment vertical="center" wrapText="1"/>
    </xf>
    <xf numFmtId="4" fontId="32" fillId="10" borderId="0" xfId="0" applyNumberFormat="1" applyFont="1" applyFill="1" applyAlignment="1">
      <alignment vertical="center" wrapText="1"/>
    </xf>
    <xf numFmtId="0" fontId="33" fillId="0" borderId="4" xfId="0" applyFont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0" fontId="34" fillId="0" borderId="4" xfId="0" applyFont="1" applyBorder="1" applyAlignment="1">
      <alignment horizontal="center" vertical="top" wrapText="1" readingOrder="1"/>
    </xf>
    <xf numFmtId="0" fontId="34" fillId="0" borderId="0" xfId="0" applyFont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3" borderId="14" xfId="0" applyFont="1" applyFill="1" applyBorder="1" applyAlignment="1">
      <alignment horizontal="left" vertical="center"/>
    </xf>
    <xf numFmtId="43" fontId="35" fillId="3" borderId="14" xfId="1" applyFont="1" applyFill="1" applyBorder="1" applyAlignment="1">
      <alignment horizontal="center" vertical="center" wrapText="1"/>
    </xf>
    <xf numFmtId="43" fontId="16" fillId="0" borderId="14" xfId="1" applyFont="1" applyBorder="1" applyAlignment="1">
      <alignment horizontal="left" vertical="center" wrapText="1"/>
    </xf>
    <xf numFmtId="43" fontId="17" fillId="0" borderId="14" xfId="1" applyFont="1" applyBorder="1"/>
    <xf numFmtId="0" fontId="2" fillId="0" borderId="48" xfId="0" applyFont="1" applyBorder="1"/>
    <xf numFmtId="0" fontId="17" fillId="0" borderId="14" xfId="0" applyFont="1" applyBorder="1" applyAlignment="1">
      <alignment horizontal="left" wrapText="1"/>
    </xf>
    <xf numFmtId="43" fontId="16" fillId="0" borderId="14" xfId="1" applyFont="1" applyBorder="1"/>
    <xf numFmtId="0" fontId="16" fillId="0" borderId="14" xfId="0" applyFont="1" applyBorder="1" applyAlignment="1">
      <alignment horizontal="left" wrapText="1"/>
    </xf>
    <xf numFmtId="177" fontId="16" fillId="0" borderId="14" xfId="0" applyNumberFormat="1" applyFont="1" applyBorder="1"/>
    <xf numFmtId="177" fontId="17" fillId="0" borderId="14" xfId="0" applyNumberFormat="1" applyFont="1" applyBorder="1"/>
    <xf numFmtId="0" fontId="35" fillId="5" borderId="14" xfId="0" applyFont="1" applyFill="1" applyBorder="1" applyAlignment="1">
      <alignment vertical="center"/>
    </xf>
    <xf numFmtId="43" fontId="16" fillId="5" borderId="14" xfId="1" applyFont="1" applyFill="1" applyBorder="1"/>
    <xf numFmtId="0" fontId="3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/>
    </xf>
    <xf numFmtId="43" fontId="9" fillId="3" borderId="14" xfId="1" applyFont="1" applyFill="1" applyBorder="1" applyAlignment="1">
      <alignment horizontal="center" vertical="center" wrapText="1"/>
    </xf>
    <xf numFmtId="0" fontId="14" fillId="0" borderId="0" xfId="0" applyFont="1"/>
    <xf numFmtId="0" fontId="12" fillId="0" borderId="14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4" xfId="0" applyFont="1" applyBorder="1"/>
    <xf numFmtId="0" fontId="14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9" fillId="5" borderId="1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2225040</xdr:colOff>
      <xdr:row>0</xdr:row>
      <xdr:rowOff>156845</xdr:rowOff>
    </xdr:from>
    <xdr:to>
      <xdr:col>1</xdr:col>
      <xdr:colOff>4523740</xdr:colOff>
      <xdr:row>5</xdr:row>
      <xdr:rowOff>148590</xdr:rowOff>
    </xdr:to>
    <xdr:pic>
      <xdr:nvPicPr>
        <xdr:cNvPr id="7" name="Imagen 6" descr="Dirección General de Pasaportes - Solicitud de Pasaporte ...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5065" y="156845"/>
          <a:ext cx="2298700" cy="14014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>
      <xdr:nvSpPr>
        <xdr:cNvPr id="2" name="CuadroTexto 1"/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725" y="85725"/>
          <a:ext cx="1219200" cy="10661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>
      <xdr:nvSpPr>
        <xdr:cNvPr id="2" name="CuadroTexto 1"/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>
      <xdr:nvSpPr>
        <xdr:cNvPr id="2" name="CuadroTexto 1"/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508000</xdr:colOff>
      <xdr:row>0</xdr:row>
      <xdr:rowOff>79375</xdr:rowOff>
    </xdr:from>
    <xdr:to>
      <xdr:col>1</xdr:col>
      <xdr:colOff>2619374</xdr:colOff>
      <xdr:row>6</xdr:row>
      <xdr:rowOff>15874</xdr:rowOff>
    </xdr:to>
    <xdr:pic>
      <xdr:nvPicPr>
        <xdr:cNvPr id="2" name="Imagen 1" descr="Dirección General de Pasaportes - Solicitud de Pasaporte ...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025" y="79375"/>
          <a:ext cx="2110740" cy="1688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>
      <xdr:nvSpPr>
        <xdr:cNvPr id="2" name="CuadroTexto 1"/>
        <xdr:cNvSpPr txBox="1"/>
      </xdr:nvSpPr>
      <xdr:spPr>
        <a:xfrm>
          <a:off x="0" y="1062355"/>
          <a:ext cx="54610" cy="425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76425" cy="1628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4365" cy="1372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4365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4365" cy="1393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276350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>
      <xdr:nvSpPr>
        <xdr:cNvPr id="2" name="CuadroTexto 1"/>
        <xdr:cNvSpPr txBox="1"/>
      </xdr:nvSpPr>
      <xdr:spPr>
        <a:xfrm>
          <a:off x="9525" y="152400"/>
          <a:ext cx="163766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276350" cy="904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>
      <xdr:nvSpPr>
        <xdr:cNvPr id="2" name="CuadroTexto 1"/>
        <xdr:cNvSpPr txBox="1"/>
      </xdr:nvSpPr>
      <xdr:spPr>
        <a:xfrm>
          <a:off x="9525" y="152400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"/>
          <a:ext cx="1219200" cy="1066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4"/>
  <sheetViews>
    <sheetView tabSelected="1" zoomScale="86" zoomScaleNormal="86" workbookViewId="0">
      <selection activeCell="B10" sqref="B10"/>
    </sheetView>
  </sheetViews>
  <sheetFormatPr defaultColWidth="11.4285714285714" defaultRowHeight="15"/>
  <cols>
    <col min="1" max="1" width="3" customWidth="1"/>
    <col min="2" max="2" width="82.552380952381" customWidth="1"/>
    <col min="3" max="3" width="30.7238095238095" customWidth="1"/>
    <col min="4" max="4" width="26.0761904761905" customWidth="1"/>
    <col min="5" max="5" width="24.9142857142857" customWidth="1"/>
    <col min="6" max="6" width="24.0761904761905" customWidth="1"/>
    <col min="7" max="7" width="24.5809523809524" customWidth="1"/>
    <col min="8" max="8" width="25.247619047619" customWidth="1"/>
    <col min="9" max="9" width="24.0952380952381" customWidth="1"/>
    <col min="10" max="10" width="21.9333333333333" customWidth="1"/>
    <col min="11" max="11" width="22.5904761904762" customWidth="1"/>
  </cols>
  <sheetData>
    <row r="1" spans="2:18">
      <c r="B1" s="68"/>
    </row>
    <row r="2" ht="28.5" customHeight="1" spans="2:18">
      <c r="B2" s="179" t="s">
        <v>0</v>
      </c>
      <c r="C2" s="180"/>
      <c r="D2" s="180"/>
      <c r="E2" s="180"/>
      <c r="F2" s="180"/>
      <c r="G2" s="180"/>
      <c r="H2" s="180"/>
      <c r="I2" s="180"/>
      <c r="J2" s="180"/>
      <c r="K2" s="180"/>
    </row>
    <row r="3" ht="21" customHeight="1" spans="2:18">
      <c r="B3" s="181" t="s">
        <v>1</v>
      </c>
      <c r="C3" s="182"/>
      <c r="D3" s="182"/>
      <c r="E3" s="182"/>
      <c r="F3" s="182"/>
      <c r="G3" s="182"/>
      <c r="H3" s="182"/>
      <c r="I3" s="182"/>
      <c r="J3" s="182"/>
      <c r="K3" s="182"/>
    </row>
    <row r="4" ht="21" spans="2:18">
      <c r="B4" s="183">
        <v>2026</v>
      </c>
      <c r="C4" s="184"/>
      <c r="D4" s="184"/>
      <c r="E4" s="184"/>
      <c r="F4" s="184"/>
      <c r="G4" s="184"/>
      <c r="H4" s="184"/>
      <c r="I4" s="184"/>
      <c r="J4" s="184"/>
      <c r="K4" s="184"/>
    </row>
    <row r="5" ht="25.5" customHeight="1" spans="2:18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</row>
    <row r="6" ht="27" customHeight="1" spans="2:18"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8" customHeight="1" spans="2:18">
      <c r="B8" s="201" t="s">
        <v>4</v>
      </c>
      <c r="C8" s="202" t="s">
        <v>5</v>
      </c>
      <c r="D8" s="202" t="s">
        <v>6</v>
      </c>
      <c r="E8" s="200" t="s">
        <v>7</v>
      </c>
      <c r="F8" s="200"/>
      <c r="G8" s="200"/>
      <c r="H8" s="200"/>
      <c r="I8" s="200"/>
      <c r="J8" s="200"/>
      <c r="K8" s="200"/>
      <c r="L8" s="203"/>
      <c r="M8" s="203"/>
      <c r="N8" s="203"/>
      <c r="O8" s="203"/>
      <c r="P8" s="203"/>
      <c r="Q8" s="203"/>
      <c r="R8" s="203"/>
    </row>
    <row r="9" ht="30" customHeight="1" spans="2:18">
      <c r="B9" s="201"/>
      <c r="C9" s="202"/>
      <c r="D9" s="202"/>
      <c r="E9" s="202" t="s">
        <v>8</v>
      </c>
      <c r="F9" s="202" t="s">
        <v>9</v>
      </c>
      <c r="G9" s="202" t="s">
        <v>10</v>
      </c>
      <c r="H9" s="202" t="s">
        <v>11</v>
      </c>
      <c r="I9" s="202" t="s">
        <v>12</v>
      </c>
      <c r="J9" s="202" t="s">
        <v>13</v>
      </c>
      <c r="K9" s="202" t="s">
        <v>14</v>
      </c>
      <c r="L9" s="203"/>
      <c r="M9" s="203"/>
      <c r="N9" s="203"/>
      <c r="O9" s="203"/>
      <c r="P9" s="203"/>
      <c r="Q9" s="203"/>
      <c r="R9" s="203"/>
    </row>
    <row r="10" s="10" customFormat="1" ht="30" customHeight="1" spans="2:18">
      <c r="B10" s="204" t="s">
        <v>15</v>
      </c>
      <c r="C10" s="98">
        <f>+C11+C17+C27+C37+C45+C52+C62+C67+C70</f>
        <v>2447113502</v>
      </c>
      <c r="D10" s="98">
        <f>+D11+D17+D27+D37+D45+D52+D62+D67+D70</f>
        <v>-11299559</v>
      </c>
      <c r="E10" s="98">
        <f>+E11+E17+E27+E37+E45+E52+E62+E67+E70</f>
        <v>68489291.4</v>
      </c>
      <c r="F10" s="98">
        <f>+F11+F17+F27+F37+F45+F52+F62+F67+F70</f>
        <v>89169821.48</v>
      </c>
      <c r="G10" s="98">
        <f>+G11+G17+G27+G37+G45+G52+G62+G67+G70+G78</f>
        <v>146335017.97</v>
      </c>
      <c r="H10" s="98">
        <f>+H11+H17+H27+H37+H45+H52+H62+H67+H70+H78</f>
        <v>92434528.48</v>
      </c>
      <c r="I10" s="98">
        <f>+I11+I17+I27+I37+I45+I52+I62+I67+I70+I78</f>
        <v>128547574.67</v>
      </c>
      <c r="J10" s="98">
        <f>+J11+J17+J27+J37+J45+J52+J62+J67+J70+J78</f>
        <v>115840408.46</v>
      </c>
      <c r="K10" s="98">
        <f>+K11+K17+K27+K37+K45+K52+K62+K67+K70+K78</f>
        <v>640816642.46</v>
      </c>
      <c r="L10" s="43"/>
      <c r="M10" s="43"/>
      <c r="N10" s="43"/>
      <c r="O10" s="43"/>
      <c r="P10" s="43"/>
      <c r="Q10" s="43"/>
      <c r="R10" s="43"/>
    </row>
    <row r="11" s="10" customFormat="1" ht="30" customHeight="1" spans="2:18">
      <c r="B11" s="204" t="s">
        <v>16</v>
      </c>
      <c r="C11" s="99">
        <f t="shared" ref="C11:H11" si="0">SUM(C12:C16)</f>
        <v>809678570</v>
      </c>
      <c r="D11" s="99">
        <f t="shared" si="0"/>
        <v>0</v>
      </c>
      <c r="E11" s="99">
        <f t="shared" si="0"/>
        <v>52875602.56</v>
      </c>
      <c r="F11" s="99">
        <f t="shared" si="0"/>
        <v>53001449.33</v>
      </c>
      <c r="G11" s="99">
        <f t="shared" si="0"/>
        <v>53180063.25</v>
      </c>
      <c r="H11" s="99">
        <f t="shared" si="0"/>
        <v>54078460.57</v>
      </c>
      <c r="I11" s="99">
        <f t="shared" ref="I11:K11" si="1">SUM(I12:I16)</f>
        <v>96364026.58</v>
      </c>
      <c r="J11" s="99">
        <f t="shared" si="1"/>
        <v>54563671.32</v>
      </c>
      <c r="K11" s="99">
        <f t="shared" si="1"/>
        <v>364063273.61</v>
      </c>
      <c r="L11" s="43"/>
      <c r="M11" s="43"/>
      <c r="N11" s="43"/>
      <c r="O11" s="43"/>
      <c r="P11" s="43"/>
      <c r="Q11" s="43"/>
      <c r="R11" s="43"/>
    </row>
    <row r="12" s="10" customFormat="1" ht="30" customHeight="1" spans="2:18">
      <c r="B12" s="205" t="s">
        <v>17</v>
      </c>
      <c r="C12" s="101">
        <v>575851405</v>
      </c>
      <c r="D12" s="101">
        <v>-720000</v>
      </c>
      <c r="E12" s="101">
        <v>42663604.54</v>
      </c>
      <c r="F12" s="101">
        <v>42781600.04</v>
      </c>
      <c r="G12" s="101">
        <v>42935480.52</v>
      </c>
      <c r="H12" s="101">
        <v>42162071.2</v>
      </c>
      <c r="I12" s="101">
        <v>44754829.84</v>
      </c>
      <c r="J12" s="101">
        <v>44109265.49</v>
      </c>
      <c r="K12" s="101">
        <f>+E12+F12+H12+G12+I12+J12</f>
        <v>259406851.63</v>
      </c>
      <c r="L12" s="43"/>
      <c r="M12" s="43"/>
      <c r="N12" s="43"/>
      <c r="O12" s="43"/>
      <c r="P12" s="43"/>
      <c r="Q12" s="43"/>
      <c r="R12" s="43"/>
    </row>
    <row r="13" s="10" customFormat="1" ht="30" customHeight="1" spans="2:18">
      <c r="B13" s="205" t="s">
        <v>18</v>
      </c>
      <c r="C13" s="101">
        <v>142108197</v>
      </c>
      <c r="D13" s="101">
        <v>720000</v>
      </c>
      <c r="E13" s="101">
        <v>3711000</v>
      </c>
      <c r="F13" s="101">
        <v>3738797.65</v>
      </c>
      <c r="G13" s="101">
        <v>3771000</v>
      </c>
      <c r="H13" s="101">
        <v>5488213.81</v>
      </c>
      <c r="I13" s="101">
        <v>45151062.18</v>
      </c>
      <c r="J13" s="101">
        <v>3931000</v>
      </c>
      <c r="K13" s="101">
        <f t="shared" ref="K13:K16" si="2">+E13+F13+H13+G13+I13+J13</f>
        <v>65791073.64</v>
      </c>
      <c r="L13" s="43"/>
      <c r="M13" s="43"/>
      <c r="N13" s="43"/>
      <c r="O13" s="43"/>
      <c r="P13" s="43"/>
      <c r="Q13" s="43"/>
      <c r="R13" s="43"/>
    </row>
    <row r="14" s="10" customFormat="1" ht="30" customHeight="1" spans="2:18">
      <c r="B14" s="205" t="s">
        <v>19</v>
      </c>
      <c r="C14" s="101">
        <v>468000</v>
      </c>
      <c r="D14" s="119"/>
      <c r="E14" s="206"/>
      <c r="F14" s="206"/>
      <c r="G14" s="206"/>
      <c r="H14" s="206"/>
      <c r="I14" s="101">
        <v>11916.8</v>
      </c>
      <c r="J14" s="101">
        <v>26931.36</v>
      </c>
      <c r="K14" s="101">
        <f t="shared" si="2"/>
        <v>38848.16</v>
      </c>
      <c r="L14" s="43"/>
      <c r="M14" s="43"/>
      <c r="N14" s="43"/>
      <c r="O14" s="43"/>
      <c r="P14" s="43"/>
      <c r="Q14" s="43"/>
      <c r="R14" s="43"/>
    </row>
    <row r="15" s="10" customFormat="1" ht="30" customHeight="1" spans="2:18">
      <c r="B15" s="205" t="s">
        <v>20</v>
      </c>
      <c r="C15" s="101">
        <v>10000000</v>
      </c>
      <c r="D15" s="119"/>
      <c r="E15" s="206"/>
      <c r="F15" s="206"/>
      <c r="G15" s="206"/>
      <c r="H15" s="206"/>
      <c r="I15" s="206"/>
      <c r="J15" s="206"/>
      <c r="K15" s="101">
        <f t="shared" si="2"/>
        <v>0</v>
      </c>
      <c r="L15" s="43"/>
      <c r="M15" s="43"/>
      <c r="N15" s="43"/>
      <c r="O15" s="43"/>
      <c r="P15" s="43"/>
      <c r="Q15" s="43"/>
      <c r="R15" s="43"/>
    </row>
    <row r="16" s="10" customFormat="1" ht="30" customHeight="1" spans="2:18">
      <c r="B16" s="205" t="s">
        <v>21</v>
      </c>
      <c r="C16" s="101">
        <v>81250968</v>
      </c>
      <c r="D16" s="119"/>
      <c r="E16" s="101">
        <v>6500998.02</v>
      </c>
      <c r="F16" s="101">
        <v>6481051.64</v>
      </c>
      <c r="G16" s="101">
        <v>6473582.73</v>
      </c>
      <c r="H16" s="101">
        <v>6428175.56</v>
      </c>
      <c r="I16" s="101">
        <v>6446217.76</v>
      </c>
      <c r="J16" s="101">
        <v>6496474.47</v>
      </c>
      <c r="K16" s="101">
        <f t="shared" si="2"/>
        <v>38826500.18</v>
      </c>
      <c r="L16" s="43"/>
      <c r="M16" s="43"/>
      <c r="N16" s="43"/>
      <c r="O16" s="43"/>
      <c r="P16" s="43"/>
      <c r="Q16" s="43"/>
      <c r="R16" s="43"/>
    </row>
    <row r="17" s="10" customFormat="1" ht="30" customHeight="1" spans="2:18">
      <c r="B17" s="204" t="s">
        <v>22</v>
      </c>
      <c r="C17" s="99">
        <f t="shared" ref="C17:I17" si="3">SUM(C18:C26)</f>
        <v>1388394932</v>
      </c>
      <c r="D17" s="99">
        <f t="shared" si="3"/>
        <v>-19799559</v>
      </c>
      <c r="E17" s="98">
        <f t="shared" si="3"/>
        <v>15613688.84</v>
      </c>
      <c r="F17" s="98">
        <f t="shared" si="3"/>
        <v>29208873.03</v>
      </c>
      <c r="G17" s="98">
        <f t="shared" si="3"/>
        <v>31034093.85</v>
      </c>
      <c r="H17" s="98">
        <f t="shared" si="3"/>
        <v>34834593.25</v>
      </c>
      <c r="I17" s="98">
        <f t="shared" si="3"/>
        <v>27356139.81</v>
      </c>
      <c r="J17" s="98">
        <f t="shared" ref="J17" si="4">SUM(J18:J26)</f>
        <v>48483999.32</v>
      </c>
      <c r="K17" s="98">
        <f>+K18+K19+K20+K21+K22+K23+K24+K25+K26</f>
        <v>186531388.1</v>
      </c>
      <c r="L17" s="43"/>
      <c r="M17" s="43"/>
      <c r="N17" s="43"/>
      <c r="O17" s="43"/>
      <c r="P17" s="43"/>
      <c r="Q17" s="43"/>
      <c r="R17" s="43"/>
    </row>
    <row r="18" s="10" customFormat="1" ht="30" customHeight="1" spans="2:18">
      <c r="B18" s="205" t="s">
        <v>23</v>
      </c>
      <c r="C18" s="101">
        <v>115058882</v>
      </c>
      <c r="D18" s="119"/>
      <c r="E18" s="101">
        <v>4494194.3</v>
      </c>
      <c r="F18" s="101">
        <v>6241970.47</v>
      </c>
      <c r="G18" s="101">
        <v>8366785.03</v>
      </c>
      <c r="H18" s="101">
        <v>7288949.9</v>
      </c>
      <c r="I18" s="101">
        <v>6190341.43</v>
      </c>
      <c r="J18" s="101">
        <v>10313191.18</v>
      </c>
      <c r="K18" s="101">
        <f>+E18+F18+H18+G18+I18+J18</f>
        <v>42895432.31</v>
      </c>
      <c r="L18" s="43"/>
      <c r="M18" s="43"/>
      <c r="N18" s="43"/>
      <c r="O18" s="43"/>
      <c r="P18" s="43"/>
      <c r="Q18" s="43"/>
      <c r="R18" s="43"/>
    </row>
    <row r="19" s="10" customFormat="1" ht="30" customHeight="1" spans="2:18">
      <c r="B19" s="205" t="s">
        <v>24</v>
      </c>
      <c r="C19" s="101">
        <v>832697380</v>
      </c>
      <c r="D19" s="119">
        <v>-52799559</v>
      </c>
      <c r="E19" s="101"/>
      <c r="F19" s="101">
        <v>60151.68</v>
      </c>
      <c r="G19" s="101">
        <v>951199.98</v>
      </c>
      <c r="H19" s="101">
        <v>1506590.88</v>
      </c>
      <c r="I19" s="101">
        <v>204957.66</v>
      </c>
      <c r="J19" s="101">
        <v>14903765.66</v>
      </c>
      <c r="K19" s="101">
        <f t="shared" ref="K19:K26" si="5">+E19+F19+H19+G19+I19+J19</f>
        <v>17626665.86</v>
      </c>
      <c r="L19" s="43"/>
      <c r="M19" s="43"/>
      <c r="N19" s="43"/>
      <c r="O19" s="43"/>
      <c r="P19" s="43"/>
      <c r="Q19" s="43"/>
      <c r="R19" s="43"/>
    </row>
    <row r="20" s="10" customFormat="1" ht="30" customHeight="1" spans="2:18">
      <c r="B20" s="205" t="s">
        <v>25</v>
      </c>
      <c r="C20" s="101">
        <v>33128670</v>
      </c>
      <c r="D20" s="119"/>
      <c r="E20" s="101">
        <v>48451.5</v>
      </c>
      <c r="F20" s="101">
        <v>505243.24</v>
      </c>
      <c r="G20" s="101">
        <v>260891.1</v>
      </c>
      <c r="H20" s="101">
        <v>1016289.04</v>
      </c>
      <c r="I20" s="101">
        <v>407341.05</v>
      </c>
      <c r="J20" s="101">
        <v>1253936.99</v>
      </c>
      <c r="K20" s="101">
        <f t="shared" si="5"/>
        <v>3492152.92</v>
      </c>
      <c r="L20" s="43"/>
      <c r="M20" s="43"/>
      <c r="N20" s="43"/>
      <c r="O20" s="43"/>
      <c r="P20" s="43"/>
      <c r="Q20" s="43"/>
      <c r="R20" s="43"/>
    </row>
    <row r="21" s="10" customFormat="1" ht="30" customHeight="1" spans="2:18">
      <c r="B21" s="205" t="s">
        <v>26</v>
      </c>
      <c r="C21" s="101">
        <v>5500000</v>
      </c>
      <c r="D21" s="119">
        <v>46200000</v>
      </c>
      <c r="E21" s="101"/>
      <c r="F21" s="101">
        <v>271317.85</v>
      </c>
      <c r="G21" s="101">
        <v>236836.59</v>
      </c>
      <c r="H21" s="101">
        <v>279300</v>
      </c>
      <c r="I21" s="101">
        <v>338100</v>
      </c>
      <c r="J21" s="101">
        <v>1227841.25</v>
      </c>
      <c r="K21" s="101">
        <f t="shared" si="5"/>
        <v>2353395.69</v>
      </c>
      <c r="L21" s="43"/>
      <c r="M21" s="43"/>
      <c r="N21" s="43"/>
      <c r="O21" s="43"/>
      <c r="P21" s="43"/>
      <c r="Q21" s="43"/>
      <c r="R21" s="43"/>
    </row>
    <row r="22" s="10" customFormat="1" ht="30" customHeight="1" spans="2:18">
      <c r="B22" s="205" t="s">
        <v>27</v>
      </c>
      <c r="C22" s="101">
        <v>158050000</v>
      </c>
      <c r="D22" s="119">
        <v>-925670.4</v>
      </c>
      <c r="E22" s="101">
        <v>9486708.09</v>
      </c>
      <c r="F22" s="101">
        <v>9794905.81</v>
      </c>
      <c r="G22" s="101">
        <v>9878478.81</v>
      </c>
      <c r="H22" s="101">
        <v>10548403.41</v>
      </c>
      <c r="I22" s="101">
        <v>9494683.41</v>
      </c>
      <c r="J22" s="101">
        <v>9974006.81</v>
      </c>
      <c r="K22" s="101">
        <f t="shared" si="5"/>
        <v>59177186.34</v>
      </c>
      <c r="L22" s="43"/>
      <c r="M22" s="43"/>
      <c r="N22" s="43"/>
      <c r="O22" s="43"/>
      <c r="P22" s="43"/>
      <c r="Q22" s="43"/>
      <c r="R22" s="43"/>
    </row>
    <row r="23" s="10" customFormat="1" ht="30" customHeight="1" spans="2:18">
      <c r="B23" s="205" t="s">
        <v>28</v>
      </c>
      <c r="C23" s="101">
        <v>82250000</v>
      </c>
      <c r="D23" s="101">
        <v>-17990000</v>
      </c>
      <c r="E23" s="101">
        <v>1584334.95</v>
      </c>
      <c r="F23" s="101">
        <v>1968402.46</v>
      </c>
      <c r="G23" s="101">
        <v>2662267.59</v>
      </c>
      <c r="H23" s="101">
        <v>2350245.4</v>
      </c>
      <c r="I23" s="101">
        <v>1624405.19</v>
      </c>
      <c r="J23" s="101">
        <v>2039263.07</v>
      </c>
      <c r="K23" s="101">
        <f t="shared" si="5"/>
        <v>12228918.66</v>
      </c>
      <c r="L23" s="43"/>
      <c r="M23" s="43"/>
      <c r="N23" s="43"/>
      <c r="O23" s="43"/>
      <c r="P23" s="43"/>
      <c r="Q23" s="43"/>
      <c r="R23" s="43"/>
    </row>
    <row r="24" s="10" customFormat="1" ht="46.5" customHeight="1" spans="2:18">
      <c r="B24" s="207" t="s">
        <v>29</v>
      </c>
      <c r="C24" s="101">
        <v>23050000</v>
      </c>
      <c r="D24" s="119">
        <v>6785870.4</v>
      </c>
      <c r="E24" s="101"/>
      <c r="F24" s="101">
        <v>83466.07</v>
      </c>
      <c r="G24" s="101">
        <v>285586.25</v>
      </c>
      <c r="H24" s="101">
        <v>3795255.17</v>
      </c>
      <c r="I24" s="101">
        <v>2018949.17</v>
      </c>
      <c r="J24" s="101">
        <v>1579159.09</v>
      </c>
      <c r="K24" s="101">
        <f t="shared" si="5"/>
        <v>7762415.75</v>
      </c>
      <c r="L24" s="43"/>
      <c r="M24" s="43"/>
      <c r="N24" s="43"/>
      <c r="O24" s="43"/>
      <c r="P24" s="43"/>
      <c r="Q24" s="43"/>
      <c r="R24" s="43"/>
    </row>
    <row r="25" s="10" customFormat="1" ht="45" customHeight="1" spans="2:18">
      <c r="B25" s="207" t="s">
        <v>30</v>
      </c>
      <c r="C25" s="101">
        <v>48160000</v>
      </c>
      <c r="D25" s="101">
        <v>-2070200</v>
      </c>
      <c r="E25" s="101"/>
      <c r="F25" s="101">
        <v>9010</v>
      </c>
      <c r="G25" s="101">
        <v>1607443</v>
      </c>
      <c r="H25" s="101">
        <v>560967.01</v>
      </c>
      <c r="I25" s="101">
        <v>690245</v>
      </c>
      <c r="J25" s="101">
        <v>666380.87</v>
      </c>
      <c r="K25" s="101">
        <f t="shared" si="5"/>
        <v>3534045.88</v>
      </c>
      <c r="L25" s="43"/>
      <c r="M25" s="43"/>
      <c r="N25" s="43"/>
      <c r="O25" s="43"/>
      <c r="P25" s="43"/>
      <c r="Q25" s="43"/>
      <c r="R25" s="43"/>
    </row>
    <row r="26" s="10" customFormat="1" ht="30" customHeight="1" spans="2:18">
      <c r="B26" s="205" t="s">
        <v>31</v>
      </c>
      <c r="C26" s="101">
        <v>90500000</v>
      </c>
      <c r="D26" s="119">
        <v>1000000</v>
      </c>
      <c r="E26" s="101"/>
      <c r="F26" s="101">
        <v>10274405.45</v>
      </c>
      <c r="G26" s="101">
        <v>6784605.5</v>
      </c>
      <c r="H26" s="101">
        <v>7488592.44</v>
      </c>
      <c r="I26" s="101">
        <v>6387116.9</v>
      </c>
      <c r="J26" s="101">
        <v>6526454.4</v>
      </c>
      <c r="K26" s="101">
        <f t="shared" si="5"/>
        <v>37461174.69</v>
      </c>
      <c r="L26" s="43"/>
      <c r="M26" s="43"/>
      <c r="N26" s="43"/>
      <c r="O26" s="43"/>
      <c r="P26" s="43"/>
      <c r="Q26" s="43"/>
      <c r="R26" s="43"/>
    </row>
    <row r="27" s="10" customFormat="1" ht="30" customHeight="1" spans="2:18">
      <c r="B27" s="204" t="s">
        <v>32</v>
      </c>
      <c r="C27" s="99">
        <f t="shared" ref="C27:I27" si="6">SUM(C28:C36)</f>
        <v>77440000</v>
      </c>
      <c r="D27" s="99">
        <f t="shared" si="6"/>
        <v>-3500000</v>
      </c>
      <c r="E27" s="99">
        <f t="shared" si="6"/>
        <v>0</v>
      </c>
      <c r="F27" s="99">
        <f t="shared" si="6"/>
        <v>6959499.12</v>
      </c>
      <c r="G27" s="99">
        <f t="shared" si="6"/>
        <v>5402789.48</v>
      </c>
      <c r="H27" s="99">
        <f t="shared" si="6"/>
        <v>2754821.2</v>
      </c>
      <c r="I27" s="99">
        <f t="shared" si="6"/>
        <v>3687862.88</v>
      </c>
      <c r="J27" s="99">
        <f t="shared" ref="J27" si="7">SUM(J28:J36)</f>
        <v>4190267.84</v>
      </c>
      <c r="K27" s="98">
        <f>+K28+K33+K34+K36+K31+K32+K30</f>
        <v>22995240.52</v>
      </c>
      <c r="L27" s="43"/>
      <c r="M27" s="43"/>
      <c r="N27" s="43"/>
      <c r="O27" s="43"/>
      <c r="P27" s="43"/>
      <c r="Q27" s="43"/>
      <c r="R27" s="43"/>
    </row>
    <row r="28" s="10" customFormat="1" ht="30" customHeight="1" spans="2:18">
      <c r="B28" s="205" t="s">
        <v>33</v>
      </c>
      <c r="C28" s="101">
        <v>5600000</v>
      </c>
      <c r="D28" s="119"/>
      <c r="E28" s="101"/>
      <c r="F28" s="101">
        <v>49500</v>
      </c>
      <c r="G28" s="101">
        <v>20570</v>
      </c>
      <c r="H28" s="101">
        <v>70125</v>
      </c>
      <c r="I28" s="101">
        <v>572782</v>
      </c>
      <c r="J28" s="101">
        <v>10450</v>
      </c>
      <c r="K28" s="101">
        <f>+E28+F28+H28+G28+I28+J28</f>
        <v>723427</v>
      </c>
      <c r="L28" s="43"/>
      <c r="M28" s="43"/>
      <c r="N28" s="43"/>
      <c r="O28" s="43"/>
      <c r="P28" s="43"/>
      <c r="Q28" s="43"/>
      <c r="R28" s="43"/>
    </row>
    <row r="29" s="10" customFormat="1" ht="30" customHeight="1" spans="2:18">
      <c r="B29" s="205" t="s">
        <v>34</v>
      </c>
      <c r="C29" s="101">
        <v>6850000</v>
      </c>
      <c r="D29" s="119">
        <v>-1500000</v>
      </c>
      <c r="E29" s="101"/>
      <c r="F29" s="101"/>
      <c r="G29" s="101"/>
      <c r="H29" s="101"/>
      <c r="I29" s="101"/>
      <c r="J29" s="101"/>
      <c r="K29" s="101">
        <f t="shared" ref="K29:K36" si="8">+E29+F29+H29+G29+I29+J29</f>
        <v>0</v>
      </c>
      <c r="L29" s="43"/>
      <c r="M29" s="43"/>
      <c r="N29" s="43"/>
      <c r="O29" s="43"/>
      <c r="P29" s="43"/>
      <c r="Q29" s="43"/>
      <c r="R29" s="43"/>
    </row>
    <row r="30" s="10" customFormat="1" ht="30" customHeight="1" spans="2:18">
      <c r="B30" s="205" t="s">
        <v>35</v>
      </c>
      <c r="C30" s="101">
        <v>2750000</v>
      </c>
      <c r="D30" s="119">
        <v>700000</v>
      </c>
      <c r="E30" s="101"/>
      <c r="F30" s="101"/>
      <c r="G30" s="101"/>
      <c r="H30" s="101">
        <v>1216816</v>
      </c>
      <c r="I30" s="101"/>
      <c r="J30" s="101">
        <v>272574.94</v>
      </c>
      <c r="K30" s="101">
        <f t="shared" si="8"/>
        <v>1489390.94</v>
      </c>
      <c r="L30" s="43"/>
      <c r="M30" s="43"/>
      <c r="N30" s="43"/>
      <c r="O30" s="43"/>
      <c r="P30" s="43"/>
      <c r="Q30" s="43"/>
      <c r="R30" s="43"/>
    </row>
    <row r="31" s="10" customFormat="1" ht="30" customHeight="1" spans="2:18">
      <c r="B31" s="205" t="s">
        <v>36</v>
      </c>
      <c r="C31" s="101">
        <v>500000</v>
      </c>
      <c r="D31" s="119"/>
      <c r="E31" s="101"/>
      <c r="F31" s="101"/>
      <c r="G31" s="101"/>
      <c r="H31" s="101"/>
      <c r="I31" s="101">
        <v>0</v>
      </c>
      <c r="J31" s="101">
        <v>3564</v>
      </c>
      <c r="K31" s="101">
        <f t="shared" si="8"/>
        <v>3564</v>
      </c>
      <c r="L31" s="43"/>
      <c r="M31" s="43"/>
      <c r="N31" s="43"/>
      <c r="O31" s="43"/>
      <c r="P31" s="43"/>
      <c r="Q31" s="43"/>
      <c r="R31" s="43"/>
    </row>
    <row r="32" s="10" customFormat="1" ht="30" customHeight="1" spans="2:18">
      <c r="B32" s="205" t="s">
        <v>37</v>
      </c>
      <c r="C32" s="101">
        <v>1315000</v>
      </c>
      <c r="D32" s="119"/>
      <c r="E32" s="101"/>
      <c r="F32" s="101"/>
      <c r="G32" s="101">
        <v>94659.43</v>
      </c>
      <c r="H32" s="43"/>
      <c r="I32" s="101">
        <v>299726.04</v>
      </c>
      <c r="J32" s="101">
        <v>35300</v>
      </c>
      <c r="K32" s="101">
        <f t="shared" si="8"/>
        <v>429685.47</v>
      </c>
      <c r="L32" s="43"/>
      <c r="M32" s="43"/>
      <c r="N32" s="43"/>
      <c r="O32" s="43"/>
      <c r="P32" s="43"/>
      <c r="Q32" s="43"/>
      <c r="R32" s="43"/>
    </row>
    <row r="33" s="10" customFormat="1" ht="30" customHeight="1" spans="2:18">
      <c r="B33" s="205" t="s">
        <v>38</v>
      </c>
      <c r="C33" s="101">
        <v>620000</v>
      </c>
      <c r="D33" s="119">
        <v>4000</v>
      </c>
      <c r="E33" s="101"/>
      <c r="F33" s="101"/>
      <c r="G33" s="101"/>
      <c r="H33" s="101">
        <v>10336.8</v>
      </c>
      <c r="I33" s="101">
        <v>40149.5</v>
      </c>
      <c r="J33" s="101">
        <v>25036.33</v>
      </c>
      <c r="K33" s="101">
        <f t="shared" si="8"/>
        <v>75522.63</v>
      </c>
      <c r="L33" s="43"/>
      <c r="M33" s="43"/>
      <c r="N33" s="43"/>
      <c r="O33" s="43"/>
      <c r="P33" s="43"/>
      <c r="Q33" s="43"/>
      <c r="R33" s="43"/>
    </row>
    <row r="34" s="10" customFormat="1" ht="43.5" customHeight="1" spans="2:18">
      <c r="B34" s="207" t="s">
        <v>39</v>
      </c>
      <c r="C34" s="101">
        <v>16355000</v>
      </c>
      <c r="D34" s="119"/>
      <c r="E34" s="101"/>
      <c r="F34" s="101">
        <v>2066010.3</v>
      </c>
      <c r="G34" s="101">
        <v>1185945.52</v>
      </c>
      <c r="H34" s="101">
        <v>1362423.6</v>
      </c>
      <c r="I34" s="101">
        <v>659186.38</v>
      </c>
      <c r="J34" s="101">
        <v>1118329.35</v>
      </c>
      <c r="K34" s="101">
        <f t="shared" si="8"/>
        <v>6391895.15</v>
      </c>
      <c r="L34" s="43"/>
      <c r="M34" s="43"/>
      <c r="N34" s="43"/>
      <c r="O34" s="43"/>
      <c r="P34" s="43"/>
      <c r="Q34" s="43"/>
      <c r="R34" s="43"/>
    </row>
    <row r="35" s="10" customFormat="1" ht="46.5" customHeight="1" spans="2:18">
      <c r="B35" s="207" t="s">
        <v>40</v>
      </c>
      <c r="C35" s="101"/>
      <c r="D35" s="119"/>
      <c r="E35" s="101"/>
      <c r="F35" s="101"/>
      <c r="G35" s="101"/>
      <c r="H35" s="101"/>
      <c r="I35" s="101"/>
      <c r="J35" s="101"/>
      <c r="K35" s="101">
        <f t="shared" si="8"/>
        <v>0</v>
      </c>
      <c r="L35" s="43"/>
      <c r="M35" s="43"/>
      <c r="N35" s="43"/>
      <c r="O35" s="43"/>
      <c r="P35" s="43"/>
      <c r="Q35" s="43"/>
      <c r="R35" s="43"/>
    </row>
    <row r="36" s="10" customFormat="1" ht="30" customHeight="1" spans="2:18">
      <c r="B36" s="205" t="s">
        <v>41</v>
      </c>
      <c r="C36" s="101">
        <v>43450000</v>
      </c>
      <c r="D36" s="119">
        <v>-2704000</v>
      </c>
      <c r="E36" s="101"/>
      <c r="F36" s="101">
        <v>4843988.82</v>
      </c>
      <c r="G36" s="101">
        <v>4101614.53</v>
      </c>
      <c r="H36" s="101">
        <v>95119.8</v>
      </c>
      <c r="I36" s="101">
        <v>2116018.96</v>
      </c>
      <c r="J36" s="101">
        <v>2725013.22</v>
      </c>
      <c r="K36" s="101">
        <f t="shared" si="8"/>
        <v>13881755.33</v>
      </c>
      <c r="L36" s="43"/>
      <c r="M36" s="43"/>
      <c r="N36" s="43"/>
      <c r="O36" s="43"/>
      <c r="P36" s="43"/>
      <c r="Q36" s="43"/>
      <c r="R36" s="43"/>
    </row>
    <row r="37" s="10" customFormat="1" ht="30" customHeight="1" spans="2:18">
      <c r="B37" s="204" t="s">
        <v>42</v>
      </c>
      <c r="C37" s="99">
        <f>SUM(C38:C43)</f>
        <v>0</v>
      </c>
      <c r="D37" s="99">
        <f>SUM(D38:D45)</f>
        <v>2000000</v>
      </c>
      <c r="E37" s="99">
        <f t="shared" ref="E37:F37" si="9">SUM(E38:E43)</f>
        <v>0</v>
      </c>
      <c r="F37" s="99">
        <f t="shared" si="9"/>
        <v>0</v>
      </c>
      <c r="G37" s="99">
        <f>SUM(G38:G45)</f>
        <v>1019398.13</v>
      </c>
      <c r="H37" s="99">
        <f>SUM(H38:H45)</f>
        <v>186095</v>
      </c>
      <c r="I37" s="99">
        <f>SUM(I38:I45)</f>
        <v>188235.3</v>
      </c>
      <c r="J37" s="99">
        <f>SUM(J38:J45)</f>
        <v>82592</v>
      </c>
      <c r="K37" s="98">
        <f>+K38+K40+K41+K42+K43+K44</f>
        <v>1476320.43</v>
      </c>
      <c r="L37" s="43"/>
      <c r="M37" s="43"/>
      <c r="N37" s="43"/>
      <c r="O37" s="43"/>
      <c r="P37" s="43"/>
      <c r="Q37" s="43"/>
      <c r="R37" s="43"/>
    </row>
    <row r="38" s="10" customFormat="1" ht="30" customHeight="1" spans="2:18">
      <c r="B38" s="205" t="s">
        <v>43</v>
      </c>
      <c r="C38" s="101"/>
      <c r="D38" s="119">
        <v>995000</v>
      </c>
      <c r="E38" s="101"/>
      <c r="F38" s="101"/>
      <c r="G38" s="101">
        <v>51595.62</v>
      </c>
      <c r="H38" s="101">
        <v>186095</v>
      </c>
      <c r="I38" s="101">
        <v>188235.3</v>
      </c>
      <c r="J38" s="101">
        <v>82592</v>
      </c>
      <c r="K38" s="101">
        <f>+E38+F38+H38+G38+I38+J38</f>
        <v>508517.92</v>
      </c>
      <c r="L38" s="43"/>
      <c r="M38" s="43"/>
      <c r="N38" s="43"/>
      <c r="O38" s="43"/>
      <c r="P38" s="43"/>
      <c r="Q38" s="43"/>
      <c r="R38" s="43"/>
    </row>
    <row r="39" s="10" customFormat="1" ht="47.25" customHeight="1" spans="2:18">
      <c r="B39" s="207" t="s">
        <v>44</v>
      </c>
      <c r="C39" s="101"/>
      <c r="D39" s="119"/>
      <c r="E39" s="101"/>
      <c r="F39" s="101"/>
      <c r="G39" s="101"/>
      <c r="H39" s="101"/>
      <c r="I39" s="101"/>
      <c r="J39" s="101"/>
      <c r="K39" s="101">
        <f t="shared" ref="K39:K45" si="10">+E39+F39+H39+G39+I39+J39</f>
        <v>0</v>
      </c>
      <c r="L39" s="43"/>
      <c r="M39" s="43"/>
      <c r="N39" s="43"/>
      <c r="O39" s="43"/>
      <c r="P39" s="43"/>
      <c r="Q39" s="43"/>
      <c r="R39" s="43"/>
    </row>
    <row r="40" s="10" customFormat="1" ht="51" customHeight="1" spans="2:18">
      <c r="B40" s="207" t="s">
        <v>45</v>
      </c>
      <c r="C40" s="101"/>
      <c r="D40" s="119"/>
      <c r="E40" s="101"/>
      <c r="F40" s="101"/>
      <c r="G40" s="101"/>
      <c r="H40" s="101"/>
      <c r="I40" s="99"/>
      <c r="J40" s="99"/>
      <c r="K40" s="101">
        <f t="shared" si="10"/>
        <v>0</v>
      </c>
      <c r="L40" s="43"/>
      <c r="M40" s="43"/>
      <c r="N40" s="43"/>
      <c r="O40" s="43"/>
      <c r="P40" s="43"/>
      <c r="Q40" s="43"/>
      <c r="R40" s="43"/>
    </row>
    <row r="41" s="10" customFormat="1" ht="50.25" customHeight="1" spans="2:18">
      <c r="B41" s="207" t="s">
        <v>46</v>
      </c>
      <c r="C41" s="101"/>
      <c r="D41" s="119"/>
      <c r="E41" s="101"/>
      <c r="F41" s="101"/>
      <c r="G41" s="101"/>
      <c r="H41" s="101"/>
      <c r="I41" s="101"/>
      <c r="J41" s="101"/>
      <c r="K41" s="101">
        <f t="shared" si="10"/>
        <v>0</v>
      </c>
      <c r="L41" s="43"/>
      <c r="M41" s="43"/>
      <c r="N41" s="43"/>
      <c r="O41" s="43"/>
      <c r="P41" s="43"/>
      <c r="Q41" s="43"/>
      <c r="R41" s="43"/>
    </row>
    <row r="42" s="10" customFormat="1" ht="47.25" customHeight="1" spans="2:18">
      <c r="B42" s="207" t="s">
        <v>47</v>
      </c>
      <c r="C42" s="101"/>
      <c r="D42" s="119"/>
      <c r="E42" s="101"/>
      <c r="F42" s="101"/>
      <c r="G42" s="101"/>
      <c r="H42" s="101"/>
      <c r="I42" s="101"/>
      <c r="J42" s="101"/>
      <c r="K42" s="101">
        <f t="shared" si="10"/>
        <v>0</v>
      </c>
      <c r="L42" s="43"/>
      <c r="M42" s="43"/>
      <c r="N42" s="43"/>
      <c r="O42" s="43"/>
      <c r="P42" s="43"/>
      <c r="Q42" s="43"/>
      <c r="R42" s="43"/>
    </row>
    <row r="43" s="10" customFormat="1" ht="30" customHeight="1" spans="2:18">
      <c r="B43" s="207" t="s">
        <v>48</v>
      </c>
      <c r="C43" s="101"/>
      <c r="D43" s="119"/>
      <c r="E43" s="101"/>
      <c r="F43" s="101"/>
      <c r="G43" s="101"/>
      <c r="H43" s="101"/>
      <c r="I43" s="101"/>
      <c r="J43" s="101"/>
      <c r="K43" s="101">
        <f t="shared" si="10"/>
        <v>0</v>
      </c>
      <c r="L43" s="43"/>
      <c r="M43" s="43"/>
      <c r="N43" s="43"/>
      <c r="O43" s="43"/>
      <c r="P43" s="43"/>
      <c r="Q43" s="43"/>
      <c r="R43" s="43"/>
    </row>
    <row r="44" s="10" customFormat="1" ht="30" customHeight="1" spans="2:18">
      <c r="B44" s="205" t="s">
        <v>49</v>
      </c>
      <c r="C44" s="101"/>
      <c r="D44" s="119">
        <v>1005000</v>
      </c>
      <c r="E44" s="101"/>
      <c r="F44" s="101"/>
      <c r="G44" s="101">
        <v>967802.51</v>
      </c>
      <c r="H44" s="101">
        <v>0</v>
      </c>
      <c r="I44" s="101">
        <v>0</v>
      </c>
      <c r="J44" s="101">
        <v>0</v>
      </c>
      <c r="K44" s="101">
        <f t="shared" si="10"/>
        <v>967802.51</v>
      </c>
      <c r="L44" s="43"/>
      <c r="M44" s="43"/>
      <c r="N44" s="43"/>
      <c r="O44" s="43"/>
      <c r="P44" s="43"/>
      <c r="Q44" s="43"/>
      <c r="R44" s="43"/>
    </row>
    <row r="45" s="10" customFormat="1" ht="48.75" customHeight="1" spans="2:18">
      <c r="B45" s="207" t="s">
        <v>50</v>
      </c>
      <c r="C45" s="99">
        <f>SUM(C46:C51)</f>
        <v>0</v>
      </c>
      <c r="D45" s="119"/>
      <c r="E45" s="101"/>
      <c r="F45" s="101"/>
      <c r="G45" s="101"/>
      <c r="H45" s="101"/>
      <c r="I45" s="101"/>
      <c r="J45" s="101"/>
      <c r="K45" s="101">
        <f t="shared" si="10"/>
        <v>0</v>
      </c>
      <c r="L45" s="43"/>
      <c r="M45" s="43"/>
      <c r="N45" s="43"/>
      <c r="O45" s="43"/>
      <c r="P45" s="43"/>
      <c r="Q45" s="43"/>
      <c r="R45" s="43"/>
    </row>
    <row r="46" s="10" customFormat="1" ht="30" customHeight="1" spans="2:18">
      <c r="B46" s="204" t="s">
        <v>51</v>
      </c>
      <c r="C46" s="101"/>
      <c r="D46" s="120"/>
      <c r="E46" s="101"/>
      <c r="F46" s="101"/>
      <c r="G46" s="101"/>
      <c r="H46" s="101"/>
      <c r="I46" s="101"/>
      <c r="J46" s="101"/>
      <c r="K46" s="101">
        <f t="shared" ref="K46:K51" si="11">+E46+F46+H46+G46+I46</f>
        <v>0</v>
      </c>
      <c r="L46" s="43"/>
      <c r="M46" s="43"/>
      <c r="N46" s="43"/>
      <c r="O46" s="43"/>
      <c r="P46" s="43"/>
      <c r="Q46" s="43"/>
      <c r="R46" s="43"/>
    </row>
    <row r="47" s="10" customFormat="1" ht="47.25" customHeight="1" spans="2:18">
      <c r="B47" s="207" t="s">
        <v>52</v>
      </c>
      <c r="C47" s="101"/>
      <c r="D47" s="119"/>
      <c r="E47" s="101"/>
      <c r="F47" s="101"/>
      <c r="G47" s="101"/>
      <c r="H47" s="101"/>
      <c r="I47" s="101"/>
      <c r="J47" s="101"/>
      <c r="K47" s="101">
        <f t="shared" si="11"/>
        <v>0</v>
      </c>
      <c r="L47" s="43"/>
      <c r="M47" s="43"/>
      <c r="N47" s="43"/>
      <c r="O47" s="43"/>
      <c r="P47" s="43"/>
      <c r="Q47" s="43"/>
      <c r="R47" s="43"/>
    </row>
    <row r="48" s="10" customFormat="1" ht="46.5" customHeight="1" spans="2:18">
      <c r="B48" s="207" t="s">
        <v>53</v>
      </c>
      <c r="C48" s="101"/>
      <c r="D48" s="119"/>
      <c r="E48" s="101"/>
      <c r="F48" s="101"/>
      <c r="G48" s="101"/>
      <c r="H48" s="101"/>
      <c r="I48" s="101"/>
      <c r="J48" s="101"/>
      <c r="K48" s="101">
        <f t="shared" si="11"/>
        <v>0</v>
      </c>
      <c r="L48" s="43"/>
      <c r="M48" s="43"/>
      <c r="N48" s="43"/>
      <c r="O48" s="43"/>
      <c r="P48" s="43"/>
      <c r="Q48" s="43"/>
      <c r="R48" s="43"/>
    </row>
    <row r="49" s="10" customFormat="1" ht="51" customHeight="1" spans="2:18">
      <c r="B49" s="207" t="s">
        <v>54</v>
      </c>
      <c r="C49" s="101"/>
      <c r="D49" s="206"/>
      <c r="E49" s="101"/>
      <c r="F49" s="101"/>
      <c r="G49" s="101"/>
      <c r="H49" s="101"/>
      <c r="I49" s="101"/>
      <c r="J49" s="101"/>
      <c r="K49" s="101">
        <f t="shared" si="11"/>
        <v>0</v>
      </c>
      <c r="L49" s="43"/>
      <c r="M49" s="43"/>
      <c r="N49" s="43"/>
      <c r="O49" s="43"/>
      <c r="P49" s="43"/>
      <c r="Q49" s="43"/>
      <c r="R49" s="43"/>
    </row>
    <row r="50" s="10" customFormat="1" ht="30" customHeight="1" spans="2:18">
      <c r="B50" s="205" t="s">
        <v>55</v>
      </c>
      <c r="C50" s="101"/>
      <c r="D50" s="119"/>
      <c r="E50" s="101"/>
      <c r="F50" s="101"/>
      <c r="G50" s="101"/>
      <c r="H50" s="101"/>
      <c r="I50" s="101"/>
      <c r="J50" s="101"/>
      <c r="K50" s="101">
        <f t="shared" si="11"/>
        <v>0</v>
      </c>
      <c r="L50" s="43"/>
      <c r="M50" s="43"/>
      <c r="N50" s="43"/>
      <c r="O50" s="43"/>
      <c r="P50" s="43"/>
      <c r="Q50" s="43"/>
      <c r="R50" s="43"/>
    </row>
    <row r="51" s="10" customFormat="1" ht="48.75" customHeight="1" spans="2:18">
      <c r="B51" s="207" t="s">
        <v>56</v>
      </c>
      <c r="C51" s="101"/>
      <c r="D51" s="119"/>
      <c r="E51" s="101"/>
      <c r="F51" s="101"/>
      <c r="G51" s="101"/>
      <c r="H51" s="101"/>
      <c r="I51" s="101"/>
      <c r="J51" s="101"/>
      <c r="K51" s="101">
        <f t="shared" si="11"/>
        <v>0</v>
      </c>
      <c r="L51" s="43"/>
      <c r="M51" s="43"/>
      <c r="N51" s="43"/>
      <c r="O51" s="43"/>
      <c r="P51" s="43"/>
      <c r="Q51" s="43"/>
      <c r="R51" s="43"/>
    </row>
    <row r="52" s="10" customFormat="1" ht="30" customHeight="1" spans="2:18">
      <c r="B52" s="204" t="s">
        <v>57</v>
      </c>
      <c r="C52" s="99">
        <f t="shared" ref="C52:I52" si="12">SUM(C53:C61)</f>
        <v>136600000</v>
      </c>
      <c r="D52" s="99">
        <f t="shared" si="12"/>
        <v>10000000</v>
      </c>
      <c r="E52" s="99">
        <f t="shared" si="12"/>
        <v>0</v>
      </c>
      <c r="F52" s="99">
        <f t="shared" si="12"/>
        <v>0</v>
      </c>
      <c r="G52" s="99">
        <f t="shared" si="12"/>
        <v>1823715.96</v>
      </c>
      <c r="H52" s="99">
        <f t="shared" si="12"/>
        <v>580558.46</v>
      </c>
      <c r="I52" s="99">
        <f t="shared" si="12"/>
        <v>951310.1</v>
      </c>
      <c r="J52" s="99">
        <f t="shared" ref="J52" si="13">SUM(J53:J61)</f>
        <v>5376470.98</v>
      </c>
      <c r="K52" s="98">
        <f>+K53+K54+K55+K56+K57+K58+K59+K60+K61</f>
        <v>8732055.5</v>
      </c>
      <c r="L52" s="43"/>
      <c r="M52" s="43"/>
      <c r="N52" s="43"/>
      <c r="O52" s="43"/>
      <c r="P52" s="43"/>
      <c r="Q52" s="43"/>
      <c r="R52" s="43"/>
    </row>
    <row r="53" s="10" customFormat="1" ht="30" customHeight="1" spans="2:18">
      <c r="B53" s="205" t="s">
        <v>58</v>
      </c>
      <c r="C53" s="101">
        <v>35200000</v>
      </c>
      <c r="D53" s="99">
        <v>-7550000</v>
      </c>
      <c r="E53" s="101"/>
      <c r="F53" s="101"/>
      <c r="G53" s="101">
        <v>83215.96</v>
      </c>
      <c r="H53" s="101">
        <v>84717.86</v>
      </c>
      <c r="I53" s="101">
        <v>0</v>
      </c>
      <c r="J53" s="101">
        <v>1329870.98</v>
      </c>
      <c r="K53" s="101">
        <f>+E53+F53+H53+G53+I53+J53</f>
        <v>1497804.8</v>
      </c>
      <c r="L53" s="43"/>
      <c r="M53" s="43"/>
      <c r="N53" s="43"/>
      <c r="O53" s="43"/>
      <c r="P53" s="43"/>
      <c r="Q53" s="43"/>
      <c r="R53" s="43"/>
    </row>
    <row r="54" s="10" customFormat="1" ht="43.5" customHeight="1" spans="2:18">
      <c r="B54" s="207" t="s">
        <v>59</v>
      </c>
      <c r="C54" s="101">
        <v>1400000</v>
      </c>
      <c r="D54" s="119"/>
      <c r="E54" s="101"/>
      <c r="F54" s="101"/>
      <c r="G54" s="101"/>
      <c r="H54" s="101"/>
      <c r="I54" s="101"/>
      <c r="J54" s="101"/>
      <c r="K54" s="101">
        <f t="shared" ref="K54:K61" si="14">+E54+F54+H54+G54+I54+J54</f>
        <v>0</v>
      </c>
      <c r="L54" s="43"/>
      <c r="M54" s="43"/>
      <c r="N54" s="43"/>
      <c r="O54" s="43"/>
      <c r="P54" s="43"/>
      <c r="Q54" s="43"/>
      <c r="R54" s="43"/>
    </row>
    <row r="55" s="10" customFormat="1" ht="30" customHeight="1" spans="2:18">
      <c r="B55" s="205" t="s">
        <v>60</v>
      </c>
      <c r="C55" s="101">
        <v>250000</v>
      </c>
      <c r="D55" s="119">
        <v>250000</v>
      </c>
      <c r="E55" s="101"/>
      <c r="F55" s="101"/>
      <c r="G55" s="101"/>
      <c r="H55" s="101">
        <v>248007.09</v>
      </c>
      <c r="I55" s="101"/>
      <c r="J55" s="101"/>
      <c r="K55" s="101">
        <f t="shared" si="14"/>
        <v>248007.09</v>
      </c>
      <c r="L55" s="43"/>
      <c r="M55" s="43"/>
      <c r="N55" s="43"/>
      <c r="O55" s="43"/>
      <c r="P55" s="43"/>
      <c r="Q55" s="43"/>
      <c r="R55" s="43"/>
    </row>
    <row r="56" s="10" customFormat="1" ht="48.75" customHeight="1" spans="2:18">
      <c r="B56" s="207" t="s">
        <v>61</v>
      </c>
      <c r="C56" s="101">
        <v>34750000</v>
      </c>
      <c r="D56" s="119"/>
      <c r="E56" s="101"/>
      <c r="F56" s="101"/>
      <c r="G56" s="101"/>
      <c r="H56" s="101"/>
      <c r="I56" s="101"/>
      <c r="J56" s="101"/>
      <c r="K56" s="101">
        <f t="shared" si="14"/>
        <v>0</v>
      </c>
      <c r="L56" s="43"/>
      <c r="M56" s="43"/>
      <c r="N56" s="43"/>
      <c r="O56" s="43"/>
      <c r="P56" s="43"/>
      <c r="Q56" s="43"/>
      <c r="R56" s="43"/>
    </row>
    <row r="57" s="10" customFormat="1" ht="30" customHeight="1" spans="2:18">
      <c r="B57" s="205" t="s">
        <v>62</v>
      </c>
      <c r="C57" s="101">
        <v>4500000</v>
      </c>
      <c r="D57" s="119">
        <v>7300000</v>
      </c>
      <c r="E57" s="101"/>
      <c r="F57" s="101"/>
      <c r="G57" s="101"/>
      <c r="H57" s="101"/>
      <c r="I57" s="101"/>
      <c r="J57" s="101"/>
      <c r="K57" s="101">
        <f t="shared" si="14"/>
        <v>0</v>
      </c>
      <c r="L57" s="43"/>
      <c r="M57" s="43"/>
      <c r="N57" s="43"/>
      <c r="O57" s="43"/>
      <c r="P57" s="43"/>
      <c r="Q57" s="43"/>
      <c r="R57" s="43"/>
    </row>
    <row r="58" s="10" customFormat="1" ht="30" customHeight="1" spans="2:18">
      <c r="B58" s="205" t="s">
        <v>63</v>
      </c>
      <c r="C58" s="101">
        <v>5000000</v>
      </c>
      <c r="D58" s="119"/>
      <c r="E58" s="101"/>
      <c r="F58" s="101"/>
      <c r="G58" s="101"/>
      <c r="H58" s="101">
        <v>247833.51</v>
      </c>
      <c r="I58" s="101">
        <v>951310.1</v>
      </c>
      <c r="J58" s="101">
        <v>4046600</v>
      </c>
      <c r="K58" s="101">
        <f t="shared" si="14"/>
        <v>5245743.61</v>
      </c>
      <c r="L58" s="43"/>
      <c r="M58" s="43"/>
      <c r="N58" s="43"/>
      <c r="O58" s="43"/>
      <c r="P58" s="43"/>
      <c r="Q58" s="43"/>
      <c r="R58" s="43"/>
    </row>
    <row r="59" s="10" customFormat="1" ht="30" customHeight="1" spans="2:18">
      <c r="B59" s="205" t="s">
        <v>64</v>
      </c>
      <c r="C59" s="101"/>
      <c r="D59" s="119"/>
      <c r="E59" s="101"/>
      <c r="F59" s="101"/>
      <c r="G59" s="101"/>
      <c r="H59" s="101"/>
      <c r="I59" s="101"/>
      <c r="J59" s="101"/>
      <c r="K59" s="101">
        <f t="shared" si="14"/>
        <v>0</v>
      </c>
      <c r="L59" s="43"/>
      <c r="M59" s="43"/>
      <c r="N59" s="43"/>
      <c r="O59" s="43"/>
      <c r="P59" s="43"/>
      <c r="Q59" s="43"/>
      <c r="R59" s="43"/>
    </row>
    <row r="60" s="10" customFormat="1" ht="30" customHeight="1" spans="2:18">
      <c r="B60" s="205" t="s">
        <v>65</v>
      </c>
      <c r="C60" s="101">
        <v>5000000</v>
      </c>
      <c r="D60" s="119"/>
      <c r="E60" s="101"/>
      <c r="F60" s="101"/>
      <c r="G60" s="101">
        <v>1740500</v>
      </c>
      <c r="H60" s="101">
        <v>0</v>
      </c>
      <c r="I60" s="101">
        <v>0</v>
      </c>
      <c r="J60" s="101">
        <v>0</v>
      </c>
      <c r="K60" s="101">
        <f t="shared" si="14"/>
        <v>1740500</v>
      </c>
      <c r="L60" s="43"/>
      <c r="M60" s="43"/>
      <c r="N60" s="43"/>
      <c r="O60" s="43"/>
      <c r="P60" s="43"/>
      <c r="Q60" s="43"/>
      <c r="R60" s="43"/>
    </row>
    <row r="61" s="10" customFormat="1" ht="42.75" customHeight="1" spans="2:18">
      <c r="B61" s="207" t="s">
        <v>66</v>
      </c>
      <c r="C61" s="101">
        <v>50500000</v>
      </c>
      <c r="D61" s="119">
        <v>10000000</v>
      </c>
      <c r="E61" s="101"/>
      <c r="F61" s="101"/>
      <c r="G61" s="43"/>
      <c r="H61" s="43"/>
      <c r="I61" s="43"/>
      <c r="J61" s="43"/>
      <c r="K61" s="101">
        <f t="shared" si="14"/>
        <v>0</v>
      </c>
      <c r="L61" s="43"/>
      <c r="M61" s="43"/>
      <c r="N61" s="43"/>
      <c r="O61" s="43"/>
      <c r="P61" s="43"/>
      <c r="Q61" s="43"/>
      <c r="R61" s="43"/>
    </row>
    <row r="62" s="10" customFormat="1" ht="30" customHeight="1" spans="2:18">
      <c r="B62" s="204" t="s">
        <v>67</v>
      </c>
      <c r="C62" s="99">
        <f t="shared" ref="C62:I62" si="15">SUM(C63:C65)</f>
        <v>35000000</v>
      </c>
      <c r="D62" s="99">
        <f t="shared" si="15"/>
        <v>0</v>
      </c>
      <c r="E62" s="101">
        <f t="shared" si="15"/>
        <v>0</v>
      </c>
      <c r="F62" s="101">
        <f t="shared" si="15"/>
        <v>0</v>
      </c>
      <c r="G62" s="99">
        <f t="shared" si="15"/>
        <v>8954332.22</v>
      </c>
      <c r="H62" s="99">
        <f t="shared" si="15"/>
        <v>0</v>
      </c>
      <c r="I62" s="99">
        <f t="shared" si="15"/>
        <v>0</v>
      </c>
      <c r="J62" s="99">
        <f t="shared" ref="J62" si="16">SUM(J63:J65)</f>
        <v>3143407</v>
      </c>
      <c r="K62" s="99">
        <f>+K63+K64+K65+K66</f>
        <v>12097739.22</v>
      </c>
      <c r="L62" s="43"/>
      <c r="M62" s="43"/>
      <c r="N62" s="43"/>
      <c r="O62" s="43"/>
      <c r="P62" s="43"/>
      <c r="Q62" s="43"/>
      <c r="R62" s="43"/>
    </row>
    <row r="63" s="10" customFormat="1" ht="30" customHeight="1" spans="2:18">
      <c r="B63" s="205" t="s">
        <v>68</v>
      </c>
      <c r="C63" s="101">
        <v>35000000</v>
      </c>
      <c r="D63" s="99"/>
      <c r="E63" s="101"/>
      <c r="F63" s="101"/>
      <c r="G63" s="101">
        <v>8954332.22</v>
      </c>
      <c r="H63" s="101">
        <v>0</v>
      </c>
      <c r="I63" s="101">
        <v>0</v>
      </c>
      <c r="J63" s="101">
        <v>3143407</v>
      </c>
      <c r="K63" s="101">
        <f>+E63+F63+H63+G63+I63+J63</f>
        <v>12097739.22</v>
      </c>
      <c r="L63" s="43"/>
      <c r="M63" s="43"/>
      <c r="N63" s="43"/>
      <c r="O63" s="43"/>
      <c r="P63" s="43"/>
      <c r="Q63" s="43"/>
      <c r="R63" s="43"/>
    </row>
    <row r="64" s="10" customFormat="1" ht="30" customHeight="1" spans="2:18">
      <c r="B64" s="205" t="s">
        <v>69</v>
      </c>
      <c r="C64" s="101"/>
      <c r="D64" s="119"/>
      <c r="E64" s="101"/>
      <c r="F64" s="101"/>
      <c r="G64" s="101"/>
      <c r="H64" s="101"/>
      <c r="I64" s="101"/>
      <c r="J64" s="101"/>
      <c r="K64" s="101">
        <f t="shared" ref="K64:K77" si="17">+E64+F64+H64+G64+I64+J64</f>
        <v>0</v>
      </c>
      <c r="L64" s="43"/>
      <c r="M64" s="43"/>
      <c r="N64" s="43"/>
      <c r="O64" s="43"/>
      <c r="P64" s="43"/>
      <c r="Q64" s="43"/>
      <c r="R64" s="43"/>
    </row>
    <row r="65" s="10" customFormat="1" ht="30" customHeight="1" spans="2:18">
      <c r="B65" s="205" t="s">
        <v>70</v>
      </c>
      <c r="C65" s="101"/>
      <c r="D65" s="119"/>
      <c r="E65" s="101"/>
      <c r="F65" s="101"/>
      <c r="G65" s="101"/>
      <c r="H65" s="101"/>
      <c r="I65" s="101"/>
      <c r="J65" s="101"/>
      <c r="K65" s="101">
        <f t="shared" si="17"/>
        <v>0</v>
      </c>
      <c r="L65" s="43"/>
      <c r="M65" s="43"/>
      <c r="N65" s="43"/>
      <c r="O65" s="43"/>
      <c r="P65" s="43"/>
      <c r="Q65" s="43"/>
      <c r="R65" s="43"/>
    </row>
    <row r="66" s="10" customFormat="1" ht="48.75" customHeight="1" spans="2:18">
      <c r="B66" s="207" t="s">
        <v>71</v>
      </c>
      <c r="C66" s="101"/>
      <c r="D66" s="119"/>
      <c r="E66" s="101"/>
      <c r="F66" s="101"/>
      <c r="G66" s="101"/>
      <c r="H66" s="101"/>
      <c r="I66" s="101"/>
      <c r="J66" s="101"/>
      <c r="K66" s="101">
        <f t="shared" si="17"/>
        <v>0</v>
      </c>
      <c r="L66" s="43"/>
      <c r="M66" s="43"/>
      <c r="N66" s="43"/>
      <c r="O66" s="43"/>
      <c r="P66" s="43"/>
      <c r="Q66" s="43"/>
      <c r="R66" s="43"/>
    </row>
    <row r="67" s="10" customFormat="1" ht="42.75" customHeight="1" spans="2:18">
      <c r="B67" s="208" t="s">
        <v>72</v>
      </c>
      <c r="C67" s="99"/>
      <c r="D67" s="119"/>
      <c r="E67" s="101"/>
      <c r="F67" s="101"/>
      <c r="G67" s="101"/>
      <c r="H67" s="101"/>
      <c r="I67" s="101"/>
      <c r="J67" s="101"/>
      <c r="K67" s="101">
        <f t="shared" si="17"/>
        <v>0</v>
      </c>
      <c r="L67" s="43"/>
      <c r="M67" s="43"/>
      <c r="N67" s="43"/>
      <c r="O67" s="43"/>
      <c r="P67" s="43"/>
      <c r="Q67" s="43"/>
      <c r="R67" s="43"/>
    </row>
    <row r="68" s="10" customFormat="1" ht="30" customHeight="1" spans="2:18">
      <c r="B68" s="205" t="s">
        <v>73</v>
      </c>
      <c r="C68" s="101"/>
      <c r="D68" s="120"/>
      <c r="E68" s="101"/>
      <c r="F68" s="101"/>
      <c r="G68" s="101"/>
      <c r="H68" s="101"/>
      <c r="I68" s="101"/>
      <c r="J68" s="101"/>
      <c r="K68" s="101">
        <f t="shared" si="17"/>
        <v>0</v>
      </c>
      <c r="L68" s="43"/>
      <c r="M68" s="43"/>
      <c r="N68" s="43"/>
      <c r="O68" s="43"/>
      <c r="P68" s="43"/>
      <c r="Q68" s="43"/>
      <c r="R68" s="43"/>
    </row>
    <row r="69" s="10" customFormat="1" ht="47.25" customHeight="1" spans="2:18">
      <c r="B69" s="207" t="s">
        <v>74</v>
      </c>
      <c r="C69" s="101"/>
      <c r="D69" s="119"/>
      <c r="E69" s="101"/>
      <c r="F69" s="101"/>
      <c r="G69" s="101"/>
      <c r="H69" s="101"/>
      <c r="I69" s="101"/>
      <c r="J69" s="101"/>
      <c r="K69" s="101">
        <f t="shared" si="17"/>
        <v>0</v>
      </c>
      <c r="L69" s="43"/>
      <c r="M69" s="43"/>
      <c r="N69" s="43"/>
      <c r="O69" s="43"/>
      <c r="P69" s="43"/>
      <c r="Q69" s="43"/>
      <c r="R69" s="43"/>
    </row>
    <row r="70" s="10" customFormat="1" ht="30" customHeight="1" spans="2:18">
      <c r="B70" s="204" t="s">
        <v>75</v>
      </c>
      <c r="C70" s="99">
        <f>SUM(C71:C73)</f>
        <v>0</v>
      </c>
      <c r="D70" s="119"/>
      <c r="E70" s="101"/>
      <c r="F70" s="101"/>
      <c r="G70" s="101"/>
      <c r="H70" s="101"/>
      <c r="I70" s="101"/>
      <c r="J70" s="101"/>
      <c r="K70" s="101">
        <f t="shared" si="17"/>
        <v>0</v>
      </c>
      <c r="L70" s="43"/>
      <c r="M70" s="43"/>
      <c r="N70" s="43"/>
      <c r="O70" s="43"/>
      <c r="P70" s="43"/>
      <c r="Q70" s="43"/>
      <c r="R70" s="43"/>
    </row>
    <row r="71" s="10" customFormat="1" ht="30" customHeight="1" spans="2:18">
      <c r="B71" s="205" t="s">
        <v>76</v>
      </c>
      <c r="C71" s="101"/>
      <c r="D71" s="120"/>
      <c r="E71" s="101"/>
      <c r="F71" s="101"/>
      <c r="G71" s="101"/>
      <c r="H71" s="101"/>
      <c r="I71" s="101"/>
      <c r="J71" s="101"/>
      <c r="K71" s="101">
        <f t="shared" si="17"/>
        <v>0</v>
      </c>
      <c r="L71" s="43"/>
      <c r="M71" s="43"/>
      <c r="N71" s="43"/>
      <c r="O71" s="43"/>
      <c r="P71" s="43"/>
      <c r="Q71" s="43"/>
      <c r="R71" s="43"/>
    </row>
    <row r="72" s="10" customFormat="1" ht="30" customHeight="1" spans="2:18">
      <c r="B72" s="205" t="s">
        <v>77</v>
      </c>
      <c r="C72" s="101"/>
      <c r="D72" s="119"/>
      <c r="E72" s="101"/>
      <c r="F72" s="101"/>
      <c r="G72" s="101"/>
      <c r="H72" s="101"/>
      <c r="I72" s="101"/>
      <c r="J72" s="101"/>
      <c r="K72" s="101">
        <f t="shared" si="17"/>
        <v>0</v>
      </c>
      <c r="L72" s="43"/>
      <c r="M72" s="43"/>
      <c r="N72" s="43"/>
      <c r="O72" s="43"/>
      <c r="P72" s="43"/>
      <c r="Q72" s="43"/>
      <c r="R72" s="43"/>
    </row>
    <row r="73" s="10" customFormat="1" ht="42.75" customHeight="1" spans="2:18">
      <c r="B73" s="207" t="s">
        <v>78</v>
      </c>
      <c r="C73" s="101"/>
      <c r="D73" s="119"/>
      <c r="E73" s="101"/>
      <c r="F73" s="101"/>
      <c r="G73" s="101"/>
      <c r="H73" s="101"/>
      <c r="I73" s="101"/>
      <c r="J73" s="101"/>
      <c r="K73" s="101">
        <f t="shared" si="17"/>
        <v>0</v>
      </c>
      <c r="L73" s="43"/>
      <c r="M73" s="43"/>
      <c r="N73" s="43"/>
      <c r="O73" s="43"/>
      <c r="P73" s="43"/>
      <c r="Q73" s="43"/>
      <c r="R73" s="43"/>
    </row>
    <row r="74" s="10" customFormat="1" ht="30" customHeight="1" spans="2:18">
      <c r="B74" s="204" t="s">
        <v>79</v>
      </c>
      <c r="C74" s="107"/>
      <c r="D74" s="119"/>
      <c r="E74" s="101"/>
      <c r="F74" s="101"/>
      <c r="G74" s="101"/>
      <c r="H74" s="101"/>
      <c r="I74" s="101"/>
      <c r="J74" s="101"/>
      <c r="K74" s="101">
        <f t="shared" si="17"/>
        <v>0</v>
      </c>
      <c r="L74" s="43"/>
      <c r="M74" s="43"/>
      <c r="N74" s="43"/>
      <c r="O74" s="43"/>
      <c r="P74" s="43"/>
      <c r="Q74" s="43"/>
      <c r="R74" s="43"/>
    </row>
    <row r="75" s="10" customFormat="1" ht="30" customHeight="1" spans="2:18">
      <c r="B75" s="204" t="s">
        <v>80</v>
      </c>
      <c r="C75" s="107"/>
      <c r="D75" s="120"/>
      <c r="E75" s="101"/>
      <c r="F75" s="101"/>
      <c r="G75" s="101"/>
      <c r="H75" s="101"/>
      <c r="I75" s="101"/>
      <c r="J75" s="101"/>
      <c r="K75" s="101">
        <f t="shared" si="17"/>
        <v>0</v>
      </c>
      <c r="L75" s="43"/>
      <c r="M75" s="43"/>
      <c r="N75" s="43"/>
      <c r="O75" s="43"/>
      <c r="P75" s="43"/>
      <c r="Q75" s="43"/>
      <c r="R75" s="43"/>
    </row>
    <row r="76" s="10" customFormat="1" ht="30" customHeight="1" spans="2:18">
      <c r="B76" s="205" t="s">
        <v>81</v>
      </c>
      <c r="C76" s="108"/>
      <c r="D76" s="120"/>
      <c r="E76" s="101"/>
      <c r="F76" s="101"/>
      <c r="G76" s="101"/>
      <c r="H76" s="101"/>
      <c r="I76" s="101"/>
      <c r="J76" s="101"/>
      <c r="K76" s="101">
        <f t="shared" si="17"/>
        <v>0</v>
      </c>
      <c r="L76" s="43"/>
      <c r="M76" s="43"/>
      <c r="N76" s="43"/>
      <c r="O76" s="43"/>
      <c r="P76" s="43"/>
      <c r="Q76" s="43"/>
      <c r="R76" s="43"/>
    </row>
    <row r="77" s="10" customFormat="1" ht="30" customHeight="1" spans="2:18">
      <c r="B77" s="205" t="s">
        <v>82</v>
      </c>
      <c r="C77" s="108"/>
      <c r="D77" s="119"/>
      <c r="E77" s="101"/>
      <c r="F77" s="101"/>
      <c r="G77" s="101"/>
      <c r="H77" s="101"/>
      <c r="I77" s="101"/>
      <c r="J77" s="101"/>
      <c r="K77" s="101">
        <f t="shared" si="17"/>
        <v>0</v>
      </c>
      <c r="L77" s="43"/>
      <c r="M77" s="43"/>
      <c r="N77" s="43"/>
      <c r="O77" s="43"/>
      <c r="P77" s="43"/>
      <c r="Q77" s="43"/>
      <c r="R77" s="43"/>
    </row>
    <row r="78" s="10" customFormat="1" ht="30" customHeight="1" spans="2:18">
      <c r="B78" s="204" t="s">
        <v>83</v>
      </c>
      <c r="C78" s="107"/>
      <c r="D78" s="119"/>
      <c r="E78" s="101"/>
      <c r="F78" s="101"/>
      <c r="G78" s="99">
        <f>+G79</f>
        <v>44920625.08</v>
      </c>
      <c r="H78" s="99">
        <f>+H79</f>
        <v>0</v>
      </c>
      <c r="I78" s="99">
        <f>+I79</f>
        <v>0</v>
      </c>
      <c r="J78" s="99">
        <f>+J79</f>
        <v>0</v>
      </c>
      <c r="K78" s="98">
        <f>+E78+F78+H78+G78+I78</f>
        <v>44920625.08</v>
      </c>
      <c r="L78" s="43"/>
      <c r="M78" s="43"/>
      <c r="N78" s="43"/>
      <c r="O78" s="43"/>
      <c r="P78" s="43"/>
      <c r="Q78" s="43"/>
      <c r="R78" s="43"/>
    </row>
    <row r="79" s="10" customFormat="1" ht="30" customHeight="1" spans="2:18">
      <c r="B79" s="205" t="s">
        <v>84</v>
      </c>
      <c r="C79" s="108"/>
      <c r="D79" s="120"/>
      <c r="E79" s="101"/>
      <c r="F79" s="101"/>
      <c r="G79" s="101">
        <v>44920625.08</v>
      </c>
      <c r="H79" s="101"/>
      <c r="I79" s="101"/>
      <c r="J79" s="101"/>
      <c r="K79" s="101">
        <f>+E79+F79+H79+I79+J79</f>
        <v>0</v>
      </c>
      <c r="L79" s="43"/>
      <c r="M79" s="43"/>
      <c r="N79" s="43"/>
      <c r="O79" s="43"/>
      <c r="P79" s="43"/>
      <c r="Q79" s="43"/>
      <c r="R79" s="43"/>
    </row>
    <row r="80" s="10" customFormat="1" ht="30" customHeight="1" spans="2:18">
      <c r="B80" s="205" t="s">
        <v>85</v>
      </c>
      <c r="C80" s="108"/>
      <c r="D80" s="119"/>
      <c r="E80" s="101"/>
      <c r="F80" s="101"/>
      <c r="G80" s="101"/>
      <c r="H80" s="101"/>
      <c r="I80" s="101"/>
      <c r="J80" s="101"/>
      <c r="K80" s="101">
        <f t="shared" ref="K80" si="18">+E80+F80+H80</f>
        <v>0</v>
      </c>
      <c r="L80" s="43"/>
      <c r="M80" s="43"/>
      <c r="N80" s="43"/>
      <c r="O80" s="43"/>
      <c r="P80" s="43"/>
      <c r="Q80" s="43"/>
      <c r="R80" s="43"/>
    </row>
    <row r="81" s="10" customFormat="1" ht="30" customHeight="1" spans="2:18">
      <c r="B81" s="204" t="s">
        <v>86</v>
      </c>
      <c r="C81" s="107"/>
      <c r="D81" s="119"/>
      <c r="E81" s="101"/>
      <c r="F81" s="101"/>
      <c r="G81" s="101"/>
      <c r="H81" s="101"/>
      <c r="I81" s="101"/>
      <c r="J81" s="101"/>
      <c r="K81" s="206"/>
      <c r="L81" s="43"/>
      <c r="M81" s="43"/>
      <c r="N81" s="43"/>
      <c r="O81" s="43"/>
      <c r="P81" s="43"/>
      <c r="Q81" s="43"/>
      <c r="R81" s="43"/>
    </row>
    <row r="82" s="10" customFormat="1" ht="30" customHeight="1" spans="2:18">
      <c r="B82" s="205" t="s">
        <v>87</v>
      </c>
      <c r="C82" s="108"/>
      <c r="D82" s="120"/>
      <c r="E82" s="101"/>
      <c r="F82" s="101"/>
      <c r="G82" s="101"/>
      <c r="H82" s="101"/>
      <c r="I82" s="101"/>
      <c r="J82" s="101"/>
      <c r="K82" s="206"/>
      <c r="L82" s="43"/>
      <c r="M82" s="43"/>
      <c r="N82" s="43"/>
      <c r="O82" s="43"/>
      <c r="P82" s="43"/>
      <c r="Q82" s="43"/>
      <c r="R82" s="43"/>
    </row>
    <row r="83" s="10" customFormat="1" ht="24.95" customHeight="1" spans="2:18">
      <c r="B83" s="209" t="s">
        <v>88</v>
      </c>
      <c r="C83" s="110">
        <f>+C11+C17+C27+C37+C45+C52+C62+C67+C70</f>
        <v>2447113502</v>
      </c>
      <c r="D83" s="110">
        <f t="shared" ref="D83:E83" si="19">+D11+D17+D27+D37+D45+D52+D62+D67+D70</f>
        <v>-11299559</v>
      </c>
      <c r="E83" s="110">
        <f t="shared" si="19"/>
        <v>68489291.4</v>
      </c>
      <c r="F83" s="110">
        <f t="shared" ref="F83" si="20">+F11+F17+F27+F37+F45+F52+F62+F67+F70</f>
        <v>89169821.48</v>
      </c>
      <c r="G83" s="110">
        <f>+G11+G17+G27+G37+G45+G52+G62+G67+G70+G78</f>
        <v>146335017.97</v>
      </c>
      <c r="H83" s="110">
        <f>+H11+H17+H27+H37+H45+H52+H62+H67+H70+H78</f>
        <v>92434528.48</v>
      </c>
      <c r="I83" s="110">
        <f>+I11+I17+I27+I37+I45+I52+I62+I67+I70+I78</f>
        <v>128547574.67</v>
      </c>
      <c r="J83" s="110">
        <f>+J11+J17+J27+J37+J45+J52+J62+J67+J70+J78</f>
        <v>115840408.46</v>
      </c>
      <c r="K83" s="110">
        <f>+K11+K17+K27+K37+K45+K52+K62+K67+K70+K78</f>
        <v>640816642.46</v>
      </c>
      <c r="L83" s="43"/>
      <c r="M83" s="43"/>
      <c r="N83" s="43"/>
      <c r="O83" s="43"/>
      <c r="P83" s="43"/>
      <c r="Q83" s="43"/>
      <c r="R83" s="43"/>
    </row>
    <row r="84" ht="17.25" spans="2:18">
      <c r="B84" s="197" t="s">
        <v>89</v>
      </c>
      <c r="I84" s="8"/>
      <c r="J84" s="8"/>
    </row>
    <row r="85" ht="18.75" spans="2:18">
      <c r="B85" s="112" t="s">
        <v>90</v>
      </c>
      <c r="D85" s="91"/>
      <c r="G85" s="91"/>
      <c r="H85" s="91"/>
      <c r="I85" s="91"/>
      <c r="J85" s="91"/>
    </row>
    <row r="86" ht="37.5" spans="2:18">
      <c r="B86" s="112" t="s">
        <v>91</v>
      </c>
      <c r="J86" s="91"/>
      <c r="K86" s="91"/>
    </row>
    <row r="87" ht="18.75" spans="2:18">
      <c r="B87" s="112" t="s">
        <v>92</v>
      </c>
      <c r="C87" s="91"/>
    </row>
    <row r="88" ht="18.75" spans="2:18">
      <c r="B88" s="112" t="s">
        <v>93</v>
      </c>
    </row>
    <row r="89" ht="18.75" spans="2:18">
      <c r="B89" s="112" t="s">
        <v>94</v>
      </c>
    </row>
    <row r="90" ht="18.75" spans="2:18">
      <c r="B90" s="112" t="s">
        <v>95</v>
      </c>
    </row>
    <row r="91" ht="225" spans="2:18">
      <c r="B91" s="112" t="s">
        <v>96</v>
      </c>
    </row>
    <row r="94" ht="23.25" spans="2:18">
      <c r="B94" s="59"/>
      <c r="C94" s="61"/>
      <c r="D94" s="61"/>
    </row>
    <row r="95" ht="23.25" spans="2:18">
      <c r="B95" s="198"/>
      <c r="E95" s="58"/>
      <c r="F95" s="58"/>
      <c r="G95" s="58"/>
      <c r="H95" s="58"/>
      <c r="I95" s="58"/>
      <c r="J95" s="58"/>
      <c r="K95" s="58"/>
    </row>
    <row r="96" ht="23.25" spans="2:18">
      <c r="B96" s="59"/>
      <c r="D96" s="61"/>
      <c r="E96" s="60"/>
      <c r="F96" s="60"/>
      <c r="G96" s="60"/>
      <c r="H96" s="60"/>
      <c r="I96" s="60"/>
      <c r="J96" s="60"/>
      <c r="K96" s="60"/>
    </row>
    <row r="97" ht="23.25" spans="1:11">
      <c r="B97" s="59"/>
      <c r="C97" s="61"/>
      <c r="D97" s="61"/>
    </row>
    <row r="98" ht="23.25" spans="1:11">
      <c r="B98" s="59"/>
      <c r="C98" s="61"/>
      <c r="D98" s="61"/>
    </row>
    <row r="99" ht="23.25" spans="1:11">
      <c r="B99" s="59"/>
      <c r="C99" s="61"/>
      <c r="D99" s="61"/>
    </row>
    <row r="100" ht="23.25" spans="1:11">
      <c r="B100" s="59"/>
      <c r="C100" s="61"/>
      <c r="D100" s="61"/>
    </row>
    <row r="101" ht="23.25" spans="1:11"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</row>
    <row r="102" ht="23.25" spans="1:11">
      <c r="B102" s="59"/>
      <c r="C102" s="59"/>
      <c r="D102" s="59"/>
      <c r="E102" s="59"/>
      <c r="F102" s="59"/>
      <c r="G102" s="59"/>
      <c r="H102" s="59"/>
      <c r="I102" s="59"/>
      <c r="J102" s="59"/>
      <c r="K102" s="59"/>
    </row>
    <row r="103" ht="23.25" spans="1:11">
      <c r="B103" s="59"/>
      <c r="C103" s="61"/>
      <c r="D103" s="61"/>
    </row>
    <row r="104" ht="23.25" spans="1:11">
      <c r="B104" s="59"/>
      <c r="C104" s="61"/>
      <c r="D104" s="61"/>
    </row>
    <row r="105" ht="23.25" spans="1:11">
      <c r="B105" s="59"/>
      <c r="C105" s="61"/>
      <c r="D105" s="61"/>
    </row>
    <row r="106" ht="18.75" spans="1:11">
      <c r="B106" s="13"/>
    </row>
    <row r="107" ht="12" customHeight="1" spans="1:11">
      <c r="B107" s="13"/>
    </row>
    <row r="108" ht="33.75" hidden="1" customHeight="1" spans="1:11">
      <c r="A108" s="56" t="s">
        <v>97</v>
      </c>
      <c r="B108" s="57"/>
      <c r="C108" s="58"/>
      <c r="D108" s="58"/>
    </row>
    <row r="109" ht="23.25" hidden="1" spans="1:11">
      <c r="B109" s="59"/>
      <c r="C109" s="61"/>
      <c r="D109" s="61"/>
    </row>
    <row r="110" ht="23.25" hidden="1" spans="1:11">
      <c r="B110" s="61"/>
      <c r="C110" s="61"/>
      <c r="D110" s="61"/>
    </row>
    <row r="111" ht="23.25" hidden="1" spans="1:11">
      <c r="B111" s="62"/>
      <c r="C111" s="62"/>
      <c r="D111" s="62"/>
    </row>
    <row r="112" ht="23.25" spans="1:11">
      <c r="B112" s="63" t="s">
        <v>98</v>
      </c>
      <c r="C112" s="63"/>
      <c r="D112" s="63"/>
    </row>
    <row r="113" ht="21" customHeight="1" spans="2:4">
      <c r="B113" s="61" t="s">
        <v>99</v>
      </c>
      <c r="C113" s="61"/>
    </row>
    <row r="114" ht="21" spans="2:4">
      <c r="B114" s="64"/>
      <c r="C114" s="64"/>
      <c r="D114" s="64"/>
    </row>
  </sheetData>
  <mergeCells count="16">
    <mergeCell ref="B2:K2"/>
    <mergeCell ref="B3:K3"/>
    <mergeCell ref="B4:K4"/>
    <mergeCell ref="B5:K5"/>
    <mergeCell ref="B6:K6"/>
    <mergeCell ref="E8:K8"/>
    <mergeCell ref="E95:K95"/>
    <mergeCell ref="E96:K96"/>
    <mergeCell ref="B101:K101"/>
    <mergeCell ref="B102:K102"/>
    <mergeCell ref="C108:D108"/>
    <mergeCell ref="B111:D111"/>
    <mergeCell ref="B114:D114"/>
    <mergeCell ref="B8:B9"/>
    <mergeCell ref="C8:C9"/>
    <mergeCell ref="D8:D9"/>
  </mergeCells>
  <pageMargins left="0.669291338582677" right="0.354330708661417" top="0.62992125984252" bottom="0.354330708661417" header="0.590551181102362" footer="0.31496062992126"/>
  <pageSetup paperSize="1" scale="37" orientation="landscape"/>
  <headerFooter>
    <oddFooter>&amp;L&amp;P</oddFooter>
  </headerFooter>
  <rowBreaks count="6" manualBreakCount="6">
    <brk id="34" max="7" man="1"/>
    <brk id="60" max="7" man="1"/>
    <brk id="102" max="6" man="1"/>
    <brk id="103" max="6" man="1"/>
    <brk id="104" max="5" man="1"/>
    <brk id="110" max="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5"/>
  <sheetViews>
    <sheetView view="pageBreakPreview" zoomScaleNormal="100" topLeftCell="B1" workbookViewId="0">
      <selection activeCell="B18" sqref="B18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27.7142857142857" customWidth="1"/>
    <col min="4" max="4" width="24" customWidth="1"/>
    <col min="5" max="6" width="22.4285714285714" customWidth="1"/>
    <col min="7" max="7" width="23.5714285714286" customWidth="1"/>
    <col min="8" max="8" width="22.8571428571429" customWidth="1"/>
    <col min="9" max="9" width="22.7142857142857" customWidth="1"/>
    <col min="10" max="13" width="24" customWidth="1"/>
    <col min="14" max="14" width="23.4285714285714" customWidth="1"/>
    <col min="15" max="15" width="26" customWidth="1"/>
    <col min="16" max="16" width="24" customWidth="1"/>
    <col min="17" max="17" width="26.7142857142857" customWidth="1"/>
  </cols>
  <sheetData>
    <row r="1" ht="28.5" customHeight="1" spans="2:17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21" customHeight="1" spans="2:17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18.75" customHeight="1" spans="2:17">
      <c r="B3" s="17">
        <v>2025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5.75" customHeight="1" spans="2:17">
      <c r="B4" s="89" t="s">
        <v>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ht="15.75" customHeight="1" spans="2:17"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17">
      <c r="L6" s="91"/>
      <c r="M6" s="91"/>
      <c r="N6" s="91"/>
      <c r="O6" s="91"/>
      <c r="P6" s="91"/>
    </row>
    <row r="7" customHeight="1" spans="2:17">
      <c r="B7" s="22" t="s">
        <v>4</v>
      </c>
      <c r="C7" s="23" t="s">
        <v>5</v>
      </c>
      <c r="D7" s="23" t="s">
        <v>6</v>
      </c>
      <c r="E7" s="117" t="s">
        <v>113</v>
      </c>
      <c r="F7" s="118"/>
      <c r="G7" s="118"/>
      <c r="H7" s="92"/>
      <c r="I7" s="92"/>
      <c r="J7" s="92"/>
      <c r="K7" s="92"/>
      <c r="L7" s="92"/>
      <c r="M7" s="92"/>
      <c r="N7" s="92"/>
      <c r="O7" s="92"/>
      <c r="P7" s="92"/>
      <c r="Q7" s="93"/>
    </row>
    <row r="8" ht="30" customHeight="1" spans="2:17">
      <c r="B8" s="94"/>
      <c r="C8" s="95"/>
      <c r="D8" s="95"/>
      <c r="E8" s="96" t="s">
        <v>114</v>
      </c>
      <c r="F8" s="96" t="s">
        <v>9</v>
      </c>
      <c r="G8" s="96" t="s">
        <v>10</v>
      </c>
      <c r="H8" s="96" t="s">
        <v>11</v>
      </c>
      <c r="I8" s="96" t="s">
        <v>12</v>
      </c>
      <c r="J8" s="96" t="s">
        <v>13</v>
      </c>
      <c r="K8" s="96" t="s">
        <v>115</v>
      </c>
      <c r="L8" s="96" t="s">
        <v>134</v>
      </c>
      <c r="M8" s="96" t="s">
        <v>117</v>
      </c>
      <c r="N8" s="96" t="s">
        <v>118</v>
      </c>
      <c r="O8" s="96" t="s">
        <v>135</v>
      </c>
      <c r="P8" s="96" t="s">
        <v>120</v>
      </c>
      <c r="Q8" s="96" t="s">
        <v>121</v>
      </c>
    </row>
    <row r="9" s="10" customFormat="1" ht="35.1" customHeight="1" spans="2:17">
      <c r="B9" s="97" t="s">
        <v>15</v>
      </c>
      <c r="C9" s="98">
        <f>+C10+C16+C26+C36+C44+C52+C62+C67+C70</f>
        <v>2403578297</v>
      </c>
      <c r="D9" s="98">
        <f>+D10+D16+D26+D36+D44+D52+D62+D67+D70</f>
        <v>22655432.22</v>
      </c>
      <c r="E9" s="98">
        <f t="shared" ref="E9:P9" si="0">+E10+E16+E26+E36+E44+E52+E62+E67+E70</f>
        <v>59347772.68</v>
      </c>
      <c r="F9" s="98">
        <f t="shared" si="0"/>
        <v>71310108.34</v>
      </c>
      <c r="G9" s="98">
        <f t="shared" si="0"/>
        <v>325941464.73</v>
      </c>
      <c r="H9" s="98">
        <f t="shared" si="0"/>
        <v>322059301.45</v>
      </c>
      <c r="I9" s="98">
        <f t="shared" si="0"/>
        <v>117510627.82</v>
      </c>
      <c r="J9" s="98">
        <f t="shared" si="0"/>
        <v>85522503.05</v>
      </c>
      <c r="K9" s="98">
        <f t="shared" ref="K9" si="1">+K10+K16+K26+K36+K44+K52+K62+K67+K70</f>
        <v>82936856.97</v>
      </c>
      <c r="L9" s="98">
        <f t="shared" si="0"/>
        <v>82512694.84</v>
      </c>
      <c r="M9" s="98">
        <f t="shared" si="0"/>
        <v>171276133.12</v>
      </c>
      <c r="N9" s="98">
        <f t="shared" si="0"/>
        <v>117304213.67</v>
      </c>
      <c r="O9" s="98">
        <f t="shared" si="0"/>
        <v>166995587.19</v>
      </c>
      <c r="P9" s="98">
        <f t="shared" si="0"/>
        <v>164321560.86</v>
      </c>
      <c r="Q9" s="98">
        <f>+H9+E9+F9+G9+J9+I9+L9+K9+P9+M9+N9+O9</f>
        <v>1767038824.72</v>
      </c>
    </row>
    <row r="10" s="10" customFormat="1" ht="35.1" customHeight="1" spans="2:17">
      <c r="B10" s="97" t="s">
        <v>16</v>
      </c>
      <c r="C10" s="99">
        <f>SUM(C11:C15)</f>
        <v>754531197</v>
      </c>
      <c r="D10" s="99">
        <f>SUM(D11:D15)</f>
        <v>82011291.22</v>
      </c>
      <c r="E10" s="99">
        <f>+E11+E12+E15</f>
        <v>48481923.18</v>
      </c>
      <c r="F10" s="99">
        <f t="shared" ref="F10:L10" si="2">+F11+F12+F15+F13</f>
        <v>49982211.83</v>
      </c>
      <c r="G10" s="99">
        <f t="shared" si="2"/>
        <v>55159103.66</v>
      </c>
      <c r="H10" s="99">
        <f t="shared" si="2"/>
        <v>50437544.05</v>
      </c>
      <c r="I10" s="99">
        <f t="shared" si="2"/>
        <v>88953437.75</v>
      </c>
      <c r="J10" s="99">
        <f t="shared" si="2"/>
        <v>53961166.64</v>
      </c>
      <c r="K10" s="99">
        <f t="shared" si="2"/>
        <v>53331098.37</v>
      </c>
      <c r="L10" s="99">
        <f t="shared" si="2"/>
        <v>53433179.88</v>
      </c>
      <c r="M10" s="99">
        <f>+M11+M12+M15+M13+M14</f>
        <v>64767903.77</v>
      </c>
      <c r="N10" s="99">
        <f>+N11+N12+N15+N13+N14</f>
        <v>102243011.41</v>
      </c>
      <c r="O10" s="99">
        <f>+O11+O12+O15+O13+O14</f>
        <v>97903925.47</v>
      </c>
      <c r="P10" s="99">
        <f>+P11+P12+P15+P13+P14</f>
        <v>96164475.41</v>
      </c>
      <c r="Q10" s="99">
        <f>SUM(Q11:Q15)</f>
        <v>814818981.42</v>
      </c>
    </row>
    <row r="11" s="10" customFormat="1" ht="35.1" customHeight="1" spans="2:17">
      <c r="B11" s="100" t="s">
        <v>17</v>
      </c>
      <c r="C11" s="101">
        <v>576509282</v>
      </c>
      <c r="D11" s="119">
        <v>-6627619</v>
      </c>
      <c r="E11" s="101">
        <v>39048947.87</v>
      </c>
      <c r="F11" s="101">
        <v>40322256.66</v>
      </c>
      <c r="G11" s="101">
        <v>44731360.13</v>
      </c>
      <c r="H11" s="101">
        <v>40732516.87</v>
      </c>
      <c r="I11" s="101">
        <v>45136055.92</v>
      </c>
      <c r="J11" s="101">
        <v>43845709.61</v>
      </c>
      <c r="K11" s="101">
        <v>42495684.45</v>
      </c>
      <c r="L11" s="101">
        <v>43358645.08</v>
      </c>
      <c r="M11" s="101">
        <v>44506635.82</v>
      </c>
      <c r="N11" s="101">
        <v>47706046.07</v>
      </c>
      <c r="O11" s="101">
        <v>87400287.64</v>
      </c>
      <c r="P11" s="101">
        <v>43976227.18</v>
      </c>
      <c r="Q11" s="102">
        <f>+H11+E11+F11+G11+J11+I11+L11+K11+P11+M11+N11+O11</f>
        <v>563260373.3</v>
      </c>
    </row>
    <row r="12" s="10" customFormat="1" ht="35.1" customHeight="1" spans="2:17">
      <c r="B12" s="100" t="s">
        <v>18</v>
      </c>
      <c r="C12" s="101">
        <v>104006853</v>
      </c>
      <c r="D12" s="119">
        <v>76087510.81</v>
      </c>
      <c r="E12" s="101">
        <v>3494000</v>
      </c>
      <c r="F12" s="101">
        <v>3509000</v>
      </c>
      <c r="G12" s="101">
        <v>4293227.75</v>
      </c>
      <c r="H12" s="101">
        <v>3506000</v>
      </c>
      <c r="I12" s="101">
        <v>37417494.44</v>
      </c>
      <c r="J12" s="101">
        <v>3686000</v>
      </c>
      <c r="K12" s="101">
        <v>4623887.05</v>
      </c>
      <c r="L12" s="101">
        <v>3450520.35</v>
      </c>
      <c r="M12" s="101">
        <v>3771000</v>
      </c>
      <c r="N12" s="101">
        <v>48094100</v>
      </c>
      <c r="O12" s="101">
        <v>3958596.37</v>
      </c>
      <c r="P12" s="101">
        <v>45671194.74</v>
      </c>
      <c r="Q12" s="102">
        <f t="shared" ref="Q12:Q15" si="3">+H12+E12+F12+G12+J12+I12+L12+K12+P12+M12+N12+O12</f>
        <v>165475020.7</v>
      </c>
    </row>
    <row r="13" s="10" customFormat="1" ht="35.1" customHeight="1" spans="2:17">
      <c r="B13" s="100" t="s">
        <v>19</v>
      </c>
      <c r="C13" s="101">
        <v>0</v>
      </c>
      <c r="D13" s="119">
        <v>468000</v>
      </c>
      <c r="E13" s="101">
        <v>0</v>
      </c>
      <c r="F13" s="101">
        <v>33612.8</v>
      </c>
      <c r="G13" s="101">
        <v>54845.22</v>
      </c>
      <c r="H13" s="101">
        <v>0</v>
      </c>
      <c r="I13" s="101">
        <v>5120.99</v>
      </c>
      <c r="J13" s="101">
        <v>20983.76</v>
      </c>
      <c r="K13" s="101">
        <v>5164.81</v>
      </c>
      <c r="L13" s="101">
        <v>0</v>
      </c>
      <c r="M13" s="101">
        <v>40966.93</v>
      </c>
      <c r="N13" s="101">
        <v>13376</v>
      </c>
      <c r="O13" s="101">
        <v>0</v>
      </c>
      <c r="P13" s="101"/>
      <c r="Q13" s="102">
        <f t="shared" si="3"/>
        <v>174070.51</v>
      </c>
    </row>
    <row r="14" s="10" customFormat="1" ht="35.1" customHeight="1" spans="2:17">
      <c r="B14" s="100" t="s">
        <v>20</v>
      </c>
      <c r="C14" s="101">
        <v>10000000</v>
      </c>
      <c r="D14" s="119"/>
      <c r="E14" s="101"/>
      <c r="F14" s="101"/>
      <c r="G14" s="101"/>
      <c r="H14" s="101"/>
      <c r="I14" s="101"/>
      <c r="J14" s="101"/>
      <c r="K14" s="101"/>
      <c r="L14" s="101"/>
      <c r="M14" s="101">
        <v>9958158</v>
      </c>
      <c r="N14" s="101"/>
      <c r="O14" s="101">
        <v>41841.03</v>
      </c>
      <c r="P14" s="101"/>
      <c r="Q14" s="102">
        <f t="shared" si="3"/>
        <v>9999999.03</v>
      </c>
    </row>
    <row r="15" s="10" customFormat="1" ht="35.1" customHeight="1" spans="2:17">
      <c r="B15" s="100" t="s">
        <v>21</v>
      </c>
      <c r="C15" s="101">
        <v>64015062</v>
      </c>
      <c r="D15" s="119">
        <v>12083399.41</v>
      </c>
      <c r="E15" s="101">
        <v>5938975.31</v>
      </c>
      <c r="F15" s="101">
        <v>6117342.37</v>
      </c>
      <c r="G15" s="101">
        <v>6079670.56</v>
      </c>
      <c r="H15" s="101">
        <v>6199027.18</v>
      </c>
      <c r="I15" s="101">
        <v>6394766.4</v>
      </c>
      <c r="J15" s="101">
        <v>6408473.27</v>
      </c>
      <c r="K15" s="101">
        <v>6206362.06</v>
      </c>
      <c r="L15" s="101">
        <v>6624014.45</v>
      </c>
      <c r="M15" s="101">
        <v>6491143.02</v>
      </c>
      <c r="N15" s="101">
        <v>6429489.34</v>
      </c>
      <c r="O15" s="101">
        <v>6503200.43</v>
      </c>
      <c r="P15" s="101">
        <v>6517053.49</v>
      </c>
      <c r="Q15" s="102">
        <f t="shared" si="3"/>
        <v>75909517.88</v>
      </c>
    </row>
    <row r="16" s="10" customFormat="1" ht="35.1" customHeight="1" spans="2:17">
      <c r="B16" s="97" t="s">
        <v>22</v>
      </c>
      <c r="C16" s="99">
        <f>SUM(C17:C25)</f>
        <v>1375962044</v>
      </c>
      <c r="D16" s="99">
        <f>SUM(D17:D25)</f>
        <v>-125555320.28</v>
      </c>
      <c r="E16" s="99">
        <f t="shared" ref="E16:L16" si="4">SUM(E17:E25)</f>
        <v>6382203.16</v>
      </c>
      <c r="F16" s="99">
        <f t="shared" si="4"/>
        <v>15822013.58</v>
      </c>
      <c r="G16" s="99">
        <f t="shared" si="4"/>
        <v>263123579.58</v>
      </c>
      <c r="H16" s="99">
        <f t="shared" si="4"/>
        <v>253544296.14</v>
      </c>
      <c r="I16" s="99">
        <f t="shared" si="4"/>
        <v>23063800.88</v>
      </c>
      <c r="J16" s="99">
        <f t="shared" si="4"/>
        <v>22284446.31</v>
      </c>
      <c r="K16" s="99">
        <f t="shared" ref="K16" si="5">SUM(K17:K25)</f>
        <v>26067176.74</v>
      </c>
      <c r="L16" s="99">
        <f t="shared" si="4"/>
        <v>21849208.51</v>
      </c>
      <c r="M16" s="99">
        <f t="shared" ref="M16:P16" si="6">SUM(M17:M25)</f>
        <v>68289085.64</v>
      </c>
      <c r="N16" s="99">
        <f t="shared" ref="N16:O16" si="7">SUM(N17:N25)</f>
        <v>4799093.39</v>
      </c>
      <c r="O16" s="99">
        <f t="shared" si="7"/>
        <v>56919939.4</v>
      </c>
      <c r="P16" s="99">
        <f t="shared" si="6"/>
        <v>53845459.3</v>
      </c>
      <c r="Q16" s="103">
        <f>+Q17+Q18+Q19+Q20+Q21+Q22+Q23+Q24+Q25</f>
        <v>815990302.63</v>
      </c>
    </row>
    <row r="17" s="10" customFormat="1" ht="35.1" customHeight="1" spans="2:17">
      <c r="B17" s="100" t="s">
        <v>23</v>
      </c>
      <c r="C17" s="101">
        <v>88764349</v>
      </c>
      <c r="D17" s="119">
        <v>26720150</v>
      </c>
      <c r="E17" s="101">
        <v>3231502.33</v>
      </c>
      <c r="F17" s="101">
        <v>3619225.9</v>
      </c>
      <c r="G17" s="101">
        <v>5246597.81</v>
      </c>
      <c r="H17" s="101">
        <v>4616336.68</v>
      </c>
      <c r="I17" s="101">
        <v>5333348.12</v>
      </c>
      <c r="J17" s="101">
        <v>4818595.75</v>
      </c>
      <c r="K17" s="101">
        <v>11027409.63</v>
      </c>
      <c r="L17" s="101">
        <v>5699715.58</v>
      </c>
      <c r="M17" s="101">
        <v>3193535.69</v>
      </c>
      <c r="N17" s="101">
        <v>2973642.67</v>
      </c>
      <c r="O17" s="101">
        <v>8504517.28</v>
      </c>
      <c r="P17" s="101">
        <f>6826209.48-518763.52</f>
        <v>6307445.96</v>
      </c>
      <c r="Q17" s="102">
        <f t="shared" ref="Q17:Q25" si="8">+H17+E17+F17+G17+J17+I17+L17+K17+P17+M17+N17+O17</f>
        <v>64571873.4</v>
      </c>
    </row>
    <row r="18" s="10" customFormat="1" ht="35.1" customHeight="1" spans="2:17">
      <c r="B18" s="100" t="s">
        <v>24</v>
      </c>
      <c r="C18" s="101">
        <v>893080000</v>
      </c>
      <c r="D18" s="119">
        <v>-267860859</v>
      </c>
      <c r="E18" s="101"/>
      <c r="F18" s="101">
        <v>120800</v>
      </c>
      <c r="G18" s="101">
        <v>242576006.25</v>
      </c>
      <c r="H18" s="101">
        <v>231013475.76</v>
      </c>
      <c r="I18" s="101">
        <v>1079220.05</v>
      </c>
      <c r="J18" s="101">
        <v>866666.65</v>
      </c>
      <c r="K18" s="101">
        <v>798303.4</v>
      </c>
      <c r="L18" s="101">
        <v>11770.5</v>
      </c>
      <c r="M18" s="101">
        <v>0</v>
      </c>
      <c r="N18" s="101">
        <v>50000</v>
      </c>
      <c r="O18" s="101">
        <v>7206187.09</v>
      </c>
      <c r="P18" s="101">
        <f>12216795.33-229982</f>
        <v>11986813.33</v>
      </c>
      <c r="Q18" s="102">
        <f t="shared" si="8"/>
        <v>495709243.03</v>
      </c>
    </row>
    <row r="19" s="10" customFormat="1" ht="35.1" customHeight="1" spans="2:17">
      <c r="B19" s="100" t="s">
        <v>25</v>
      </c>
      <c r="C19" s="101">
        <v>40200000</v>
      </c>
      <c r="D19" s="119">
        <v>-725710</v>
      </c>
      <c r="E19" s="101">
        <v>66758.4</v>
      </c>
      <c r="F19" s="101">
        <v>1299356.7</v>
      </c>
      <c r="G19" s="101">
        <v>685251.5</v>
      </c>
      <c r="H19" s="101">
        <v>1194031.5</v>
      </c>
      <c r="I19" s="101">
        <v>3552178.71</v>
      </c>
      <c r="J19" s="101">
        <v>1115639.5</v>
      </c>
      <c r="K19" s="101">
        <v>295974.6</v>
      </c>
      <c r="L19" s="101">
        <v>1643192.78</v>
      </c>
      <c r="M19" s="101">
        <v>1075361.7</v>
      </c>
      <c r="N19" s="101">
        <v>716179.07</v>
      </c>
      <c r="O19" s="101">
        <v>959716.84</v>
      </c>
      <c r="P19" s="101">
        <v>1226445.63</v>
      </c>
      <c r="Q19" s="102">
        <f t="shared" si="8"/>
        <v>13830086.93</v>
      </c>
    </row>
    <row r="20" s="10" customFormat="1" ht="35.1" customHeight="1" spans="2:17">
      <c r="B20" s="100" t="s">
        <v>26</v>
      </c>
      <c r="C20" s="101">
        <v>1200000</v>
      </c>
      <c r="D20" s="119">
        <v>2560105</v>
      </c>
      <c r="E20" s="101"/>
      <c r="F20" s="101"/>
      <c r="G20" s="101"/>
      <c r="H20" s="101">
        <v>643050.47</v>
      </c>
      <c r="I20" s="101">
        <v>0</v>
      </c>
      <c r="J20" s="101">
        <v>385707.5</v>
      </c>
      <c r="K20" s="101"/>
      <c r="L20" s="101">
        <v>884686.37</v>
      </c>
      <c r="M20" s="101">
        <v>0</v>
      </c>
      <c r="N20" s="101">
        <v>0</v>
      </c>
      <c r="O20" s="101">
        <v>478896.84</v>
      </c>
      <c r="P20" s="101">
        <f>1006042.42-252917.42</f>
        <v>753125</v>
      </c>
      <c r="Q20" s="102">
        <f t="shared" si="8"/>
        <v>3145466.18</v>
      </c>
    </row>
    <row r="21" s="10" customFormat="1" ht="35.1" customHeight="1" spans="2:17">
      <c r="B21" s="100" t="s">
        <v>27</v>
      </c>
      <c r="C21" s="101">
        <v>160450000</v>
      </c>
      <c r="D21" s="119">
        <v>55547795</v>
      </c>
      <c r="E21" s="101">
        <v>717956.31</v>
      </c>
      <c r="F21" s="101">
        <v>1212021.4</v>
      </c>
      <c r="G21" s="101">
        <v>596581.16</v>
      </c>
      <c r="H21" s="101">
        <v>9552279.4</v>
      </c>
      <c r="I21" s="101">
        <v>1187164.17</v>
      </c>
      <c r="J21" s="101">
        <v>558942.4</v>
      </c>
      <c r="K21" s="101">
        <v>1198898.9</v>
      </c>
      <c r="L21" s="101">
        <v>809059.53</v>
      </c>
      <c r="M21" s="101">
        <v>46012827.79</v>
      </c>
      <c r="N21" s="101">
        <v>-8759852.91</v>
      </c>
      <c r="O21" s="101">
        <v>9468234.39</v>
      </c>
      <c r="P21" s="101">
        <f>15594935.52-143582.4</f>
        <v>15451353.12</v>
      </c>
      <c r="Q21" s="102">
        <f t="shared" si="8"/>
        <v>78005465.66</v>
      </c>
    </row>
    <row r="22" s="10" customFormat="1" ht="35.1" customHeight="1" spans="2:17">
      <c r="B22" s="100" t="s">
        <v>28</v>
      </c>
      <c r="C22" s="101">
        <v>34000000</v>
      </c>
      <c r="D22" s="119">
        <v>8056693</v>
      </c>
      <c r="E22" s="101">
        <v>2196353.98</v>
      </c>
      <c r="F22" s="101">
        <v>1860015.5</v>
      </c>
      <c r="G22" s="101">
        <v>2603654.92</v>
      </c>
      <c r="H22" s="101">
        <v>1904724.04</v>
      </c>
      <c r="I22" s="101">
        <v>2415949.48</v>
      </c>
      <c r="J22" s="101">
        <v>1663672.13</v>
      </c>
      <c r="K22" s="101">
        <v>1401982.61</v>
      </c>
      <c r="L22" s="101">
        <v>2681042.76</v>
      </c>
      <c r="M22" s="101">
        <v>8379853.52</v>
      </c>
      <c r="N22" s="101">
        <v>2039426.21</v>
      </c>
      <c r="O22" s="101">
        <v>1984991.97</v>
      </c>
      <c r="P22" s="101">
        <v>2359364.58</v>
      </c>
      <c r="Q22" s="102">
        <f t="shared" si="8"/>
        <v>31491031.7</v>
      </c>
    </row>
    <row r="23" s="10" customFormat="1" ht="35.1" customHeight="1" spans="2:17">
      <c r="B23" s="104" t="s">
        <v>29</v>
      </c>
      <c r="C23" s="101">
        <v>23050000</v>
      </c>
      <c r="D23" s="119">
        <v>18274673.95</v>
      </c>
      <c r="E23" s="101"/>
      <c r="F23" s="101">
        <v>443515.93</v>
      </c>
      <c r="G23" s="101">
        <v>1767250.97</v>
      </c>
      <c r="H23" s="101">
        <v>881170.23</v>
      </c>
      <c r="I23" s="101">
        <v>102212.48</v>
      </c>
      <c r="J23" s="101">
        <v>1463966.82</v>
      </c>
      <c r="K23" s="101">
        <v>5059603.64</v>
      </c>
      <c r="L23" s="101">
        <v>2787095.42</v>
      </c>
      <c r="M23" s="101">
        <v>733640.78</v>
      </c>
      <c r="N23" s="101">
        <v>1684599.15</v>
      </c>
      <c r="O23" s="101">
        <v>3022060.52</v>
      </c>
      <c r="P23" s="101">
        <f>2285890.33-1134438.82</f>
        <v>1151451.51</v>
      </c>
      <c r="Q23" s="102">
        <f t="shared" si="8"/>
        <v>19096567.45</v>
      </c>
    </row>
    <row r="24" s="10" customFormat="1" ht="35.1" customHeight="1" spans="2:17">
      <c r="B24" s="104" t="s">
        <v>30</v>
      </c>
      <c r="C24" s="101">
        <v>55017695</v>
      </c>
      <c r="D24" s="119">
        <v>19585436.6</v>
      </c>
      <c r="E24" s="102">
        <v>169632.14</v>
      </c>
      <c r="F24" s="102">
        <v>5062041.22</v>
      </c>
      <c r="G24" s="102">
        <v>1475651.37</v>
      </c>
      <c r="H24" s="102">
        <v>917370.3</v>
      </c>
      <c r="I24" s="102">
        <v>3649712.35</v>
      </c>
      <c r="J24" s="102">
        <v>420481</v>
      </c>
      <c r="K24" s="102">
        <v>1037600.6</v>
      </c>
      <c r="L24" s="102">
        <v>1394784.02</v>
      </c>
      <c r="M24" s="102">
        <v>2466480</v>
      </c>
      <c r="N24" s="102">
        <v>400466.4</v>
      </c>
      <c r="O24" s="102">
        <v>19386416.23</v>
      </c>
      <c r="P24" s="102">
        <f>16736681.77-2664857.45</f>
        <v>14071824.32</v>
      </c>
      <c r="Q24" s="102">
        <f t="shared" si="8"/>
        <v>50452459.95</v>
      </c>
    </row>
    <row r="25" s="10" customFormat="1" ht="35.1" customHeight="1" spans="2:17">
      <c r="B25" s="100" t="s">
        <v>31</v>
      </c>
      <c r="C25" s="101">
        <v>80200000</v>
      </c>
      <c r="D25" s="119">
        <v>12286395.17</v>
      </c>
      <c r="E25" s="101">
        <v>0</v>
      </c>
      <c r="F25" s="101">
        <v>2205036.93</v>
      </c>
      <c r="G25" s="101">
        <v>8172585.6</v>
      </c>
      <c r="H25" s="101">
        <v>2821857.76</v>
      </c>
      <c r="I25" s="101">
        <v>5744015.52</v>
      </c>
      <c r="J25" s="101">
        <v>10990774.56</v>
      </c>
      <c r="K25" s="101">
        <v>5247403.36</v>
      </c>
      <c r="L25" s="101">
        <v>5937861.55</v>
      </c>
      <c r="M25" s="101">
        <v>6427386.16</v>
      </c>
      <c r="N25" s="101">
        <v>5694632.8</v>
      </c>
      <c r="O25" s="101">
        <v>5908918.24</v>
      </c>
      <c r="P25" s="101">
        <f>9330411.25-8792775.4</f>
        <v>537635.85</v>
      </c>
      <c r="Q25" s="102">
        <f t="shared" si="8"/>
        <v>59688108.33</v>
      </c>
    </row>
    <row r="26" s="10" customFormat="1" ht="35.1" customHeight="1" spans="2:17">
      <c r="B26" s="97" t="s">
        <v>32</v>
      </c>
      <c r="C26" s="99">
        <f>SUM(C27:C35)</f>
        <v>93885056</v>
      </c>
      <c r="D26" s="99">
        <f>SUM(D27:D35)</f>
        <v>2722854.28</v>
      </c>
      <c r="E26" s="99">
        <f t="shared" ref="E26:J26" si="9">SUM(E27:E35)</f>
        <v>4483646.34</v>
      </c>
      <c r="F26" s="99">
        <f t="shared" si="9"/>
        <v>397190.93</v>
      </c>
      <c r="G26" s="99">
        <f t="shared" si="9"/>
        <v>4383637.66</v>
      </c>
      <c r="H26" s="99">
        <f t="shared" si="9"/>
        <v>5248068.26</v>
      </c>
      <c r="I26" s="99">
        <f t="shared" si="9"/>
        <v>1441463.91</v>
      </c>
      <c r="J26" s="99">
        <f t="shared" si="9"/>
        <v>8776890.09</v>
      </c>
      <c r="K26" s="99">
        <f t="shared" ref="K26:P26" si="10">SUM(K27:K35)</f>
        <v>2209709.46</v>
      </c>
      <c r="L26" s="99">
        <f t="shared" si="10"/>
        <v>4002687.43</v>
      </c>
      <c r="M26" s="99">
        <f t="shared" si="10"/>
        <v>4214334.11</v>
      </c>
      <c r="N26" s="99">
        <f t="shared" si="10"/>
        <v>9883130.92</v>
      </c>
      <c r="O26" s="99">
        <f t="shared" si="10"/>
        <v>2550543.24</v>
      </c>
      <c r="P26" s="99">
        <f t="shared" si="10"/>
        <v>1871042.92</v>
      </c>
      <c r="Q26" s="103">
        <f>+Q27+Q28+Q29+Q30+Q31+Q32+Q33+Q34+Q35</f>
        <v>49462345.27</v>
      </c>
    </row>
    <row r="27" s="10" customFormat="1" ht="35.1" customHeight="1" spans="2:17">
      <c r="B27" s="100" t="s">
        <v>33</v>
      </c>
      <c r="C27" s="101">
        <v>12300020</v>
      </c>
      <c r="D27" s="119">
        <v>-2488777.5</v>
      </c>
      <c r="E27" s="101">
        <v>0</v>
      </c>
      <c r="F27" s="101">
        <v>39715</v>
      </c>
      <c r="G27" s="101">
        <v>58280</v>
      </c>
      <c r="H27" s="101">
        <v>788828.79</v>
      </c>
      <c r="I27" s="101">
        <v>381944.99</v>
      </c>
      <c r="J27" s="101">
        <v>0</v>
      </c>
      <c r="K27" s="101">
        <v>86745</v>
      </c>
      <c r="L27" s="101">
        <v>467049.24</v>
      </c>
      <c r="M27" s="101">
        <v>177643.44</v>
      </c>
      <c r="N27" s="101">
        <v>73110</v>
      </c>
      <c r="O27" s="101">
        <v>239102.55</v>
      </c>
      <c r="P27" s="101">
        <f>1884609.82-1859197.32</f>
        <v>25412.5</v>
      </c>
      <c r="Q27" s="102">
        <f t="shared" ref="Q27:Q35" si="11">+H27+E27+F27+G27+J27+I27+L27+K27+P27+M27+N27+O27</f>
        <v>2337831.51</v>
      </c>
    </row>
    <row r="28" s="10" customFormat="1" ht="35.1" customHeight="1" spans="2:17">
      <c r="B28" s="100" t="s">
        <v>34</v>
      </c>
      <c r="C28" s="101">
        <v>11020000</v>
      </c>
      <c r="D28" s="119">
        <v>-4195684.98</v>
      </c>
      <c r="E28" s="101">
        <v>0</v>
      </c>
      <c r="F28" s="101">
        <v>0</v>
      </c>
      <c r="G28" s="101">
        <v>596608</v>
      </c>
      <c r="H28" s="101">
        <v>0</v>
      </c>
      <c r="I28" s="101">
        <v>0</v>
      </c>
      <c r="J28" s="101">
        <v>0</v>
      </c>
      <c r="K28" s="101">
        <v>0</v>
      </c>
      <c r="L28" s="101">
        <v>3030.24</v>
      </c>
      <c r="M28" s="101">
        <v>0</v>
      </c>
      <c r="N28" s="101">
        <v>0</v>
      </c>
      <c r="O28" s="101">
        <v>0</v>
      </c>
      <c r="P28" s="101">
        <f>2624387.02-2620072</f>
        <v>4315.02000000002</v>
      </c>
      <c r="Q28" s="102">
        <f t="shared" si="11"/>
        <v>603953.26</v>
      </c>
    </row>
    <row r="29" s="10" customFormat="1" ht="35.1" customHeight="1" spans="2:17">
      <c r="B29" s="100" t="s">
        <v>35</v>
      </c>
      <c r="C29" s="101">
        <v>6330000</v>
      </c>
      <c r="D29" s="119">
        <v>1723234</v>
      </c>
      <c r="E29" s="101">
        <v>0</v>
      </c>
      <c r="F29" s="101">
        <v>0</v>
      </c>
      <c r="G29" s="101">
        <v>0</v>
      </c>
      <c r="H29" s="101">
        <v>1113095.77</v>
      </c>
      <c r="I29" s="101">
        <v>0</v>
      </c>
      <c r="J29" s="101">
        <v>0</v>
      </c>
      <c r="K29" s="101">
        <v>597001.53</v>
      </c>
      <c r="L29" s="101">
        <v>3962</v>
      </c>
      <c r="M29" s="101">
        <v>0</v>
      </c>
      <c r="N29" s="101">
        <v>0</v>
      </c>
      <c r="O29" s="101">
        <v>1105893.99</v>
      </c>
      <c r="P29" s="101">
        <f>501784-498550</f>
        <v>3234</v>
      </c>
      <c r="Q29" s="102">
        <f t="shared" si="11"/>
        <v>2823187.29</v>
      </c>
    </row>
    <row r="30" s="10" customFormat="1" ht="35.1" customHeight="1" spans="2:17">
      <c r="B30" s="100" t="s">
        <v>36</v>
      </c>
      <c r="C30" s="101">
        <v>500000</v>
      </c>
      <c r="D30" s="119">
        <v>600295.71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/>
      <c r="L30" s="101">
        <v>1898</v>
      </c>
      <c r="M30" s="101">
        <v>948686</v>
      </c>
      <c r="N30" s="101">
        <v>0</v>
      </c>
      <c r="O30" s="101">
        <v>9187</v>
      </c>
      <c r="P30" s="101">
        <v>295.71</v>
      </c>
      <c r="Q30" s="102">
        <f t="shared" si="11"/>
        <v>960066.71</v>
      </c>
    </row>
    <row r="31" s="10" customFormat="1" ht="35.1" customHeight="1" spans="2:17">
      <c r="B31" s="100" t="s">
        <v>37</v>
      </c>
      <c r="C31" s="101">
        <v>565000</v>
      </c>
      <c r="D31" s="119">
        <v>2100000</v>
      </c>
      <c r="E31" s="101">
        <v>0</v>
      </c>
      <c r="F31" s="101">
        <v>277348.66</v>
      </c>
      <c r="G31" s="101">
        <v>0</v>
      </c>
      <c r="H31" s="101">
        <v>0</v>
      </c>
      <c r="I31" s="101">
        <v>0</v>
      </c>
      <c r="J31" s="101">
        <v>0</v>
      </c>
      <c r="K31" s="101">
        <v>146913.83</v>
      </c>
      <c r="L31" s="101">
        <v>46475.35</v>
      </c>
      <c r="M31" s="101">
        <v>0</v>
      </c>
      <c r="N31" s="101">
        <v>23560.14</v>
      </c>
      <c r="O31" s="101">
        <v>100099.87</v>
      </c>
      <c r="P31" s="101">
        <f>94832.91-94832.91</f>
        <v>0</v>
      </c>
      <c r="Q31" s="102">
        <f t="shared" si="11"/>
        <v>594397.85</v>
      </c>
    </row>
    <row r="32" s="10" customFormat="1" ht="35.1" customHeight="1" spans="2:17">
      <c r="B32" s="100" t="s">
        <v>38</v>
      </c>
      <c r="C32" s="101">
        <v>540000</v>
      </c>
      <c r="D32" s="119">
        <v>59304.54</v>
      </c>
      <c r="E32" s="101">
        <v>0</v>
      </c>
      <c r="F32" s="101">
        <v>0</v>
      </c>
      <c r="G32" s="101">
        <v>0</v>
      </c>
      <c r="H32" s="101">
        <v>195.01</v>
      </c>
      <c r="I32" s="101"/>
      <c r="J32" s="101"/>
      <c r="K32" s="101"/>
      <c r="L32" s="101">
        <v>12734.87</v>
      </c>
      <c r="M32" s="101">
        <v>0</v>
      </c>
      <c r="N32" s="101">
        <v>20293.17</v>
      </c>
      <c r="O32" s="101">
        <v>5528.29</v>
      </c>
      <c r="P32" s="101">
        <v>22215.54</v>
      </c>
      <c r="Q32" s="102">
        <f t="shared" si="11"/>
        <v>60966.88</v>
      </c>
    </row>
    <row r="33" s="10" customFormat="1" ht="35.1" customHeight="1" spans="2:17">
      <c r="B33" s="104" t="s">
        <v>39</v>
      </c>
      <c r="C33" s="101">
        <v>14655000</v>
      </c>
      <c r="D33" s="119">
        <v>257045.21</v>
      </c>
      <c r="E33" s="101">
        <v>0</v>
      </c>
      <c r="F33" s="101">
        <v>0</v>
      </c>
      <c r="G33" s="101">
        <v>2996200</v>
      </c>
      <c r="H33" s="101">
        <v>1042877.11</v>
      </c>
      <c r="I33" s="101"/>
      <c r="J33" s="101">
        <v>950000</v>
      </c>
      <c r="K33" s="101">
        <v>702813</v>
      </c>
      <c r="L33" s="101">
        <v>2140035.82</v>
      </c>
      <c r="M33" s="101">
        <v>950000</v>
      </c>
      <c r="N33" s="101">
        <v>2841591.51</v>
      </c>
      <c r="O33" s="101">
        <v>260914.32</v>
      </c>
      <c r="P33" s="101">
        <f>1390516.81-120717.6</f>
        <v>1269799.21</v>
      </c>
      <c r="Q33" s="102">
        <f t="shared" si="11"/>
        <v>13154230.97</v>
      </c>
    </row>
    <row r="34" s="10" customFormat="1" ht="35.1" customHeight="1" spans="2:17">
      <c r="B34" s="104" t="s">
        <v>40</v>
      </c>
      <c r="C34" s="101"/>
      <c r="D34" s="119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/>
      <c r="L34" s="101"/>
      <c r="M34" s="101"/>
      <c r="N34" s="101"/>
      <c r="O34" s="101"/>
      <c r="P34" s="101"/>
      <c r="Q34" s="102">
        <f t="shared" si="11"/>
        <v>0</v>
      </c>
    </row>
    <row r="35" s="10" customFormat="1" ht="35.1" customHeight="1" spans="2:17">
      <c r="B35" s="100" t="s">
        <v>41</v>
      </c>
      <c r="C35" s="101">
        <v>47975036</v>
      </c>
      <c r="D35" s="119">
        <v>4667437.3</v>
      </c>
      <c r="E35" s="101">
        <v>4483646.34</v>
      </c>
      <c r="F35" s="101">
        <v>80127.27</v>
      </c>
      <c r="G35" s="101">
        <v>732549.66</v>
      </c>
      <c r="H35" s="101">
        <v>2303071.58</v>
      </c>
      <c r="I35" s="101">
        <v>1059518.92</v>
      </c>
      <c r="J35" s="101">
        <v>7826890.09</v>
      </c>
      <c r="K35" s="101">
        <v>676236.1</v>
      </c>
      <c r="L35" s="101">
        <v>1327501.91</v>
      </c>
      <c r="M35" s="101">
        <v>2138004.67</v>
      </c>
      <c r="N35" s="101">
        <v>6924576.1</v>
      </c>
      <c r="O35" s="101">
        <v>829817.22</v>
      </c>
      <c r="P35" s="101">
        <f>12192073.1-11646302.16</f>
        <v>545770.939999999</v>
      </c>
      <c r="Q35" s="102">
        <f t="shared" si="11"/>
        <v>28927710.8</v>
      </c>
    </row>
    <row r="36" s="10" customFormat="1" ht="35.1" customHeight="1" spans="2:17">
      <c r="B36" s="97" t="s">
        <v>42</v>
      </c>
      <c r="C36" s="99">
        <f>SUM(C37:C42)</f>
        <v>0</v>
      </c>
      <c r="D36" s="99">
        <f>SUM(D37:D44)</f>
        <v>1650412</v>
      </c>
      <c r="E36" s="99">
        <f>SUM(E37:E43)</f>
        <v>0</v>
      </c>
      <c r="F36" s="99">
        <f>SUM(F37:F42)</f>
        <v>0</v>
      </c>
      <c r="G36" s="99">
        <f>SUM(G37:G42)</f>
        <v>0</v>
      </c>
      <c r="H36" s="99">
        <f>SUM(H37:H42)</f>
        <v>0</v>
      </c>
      <c r="I36" s="99">
        <v>0</v>
      </c>
      <c r="J36" s="99">
        <v>0</v>
      </c>
      <c r="K36" s="99">
        <f t="shared" ref="K36:P36" si="12">+SUM(K37:K44)</f>
        <v>1328872.4</v>
      </c>
      <c r="L36" s="99">
        <f t="shared" si="12"/>
        <v>0</v>
      </c>
      <c r="M36" s="99">
        <f t="shared" si="12"/>
        <v>0</v>
      </c>
      <c r="N36" s="99">
        <f t="shared" si="12"/>
        <v>0</v>
      </c>
      <c r="O36" s="99">
        <f t="shared" si="12"/>
        <v>0</v>
      </c>
      <c r="P36" s="99">
        <f t="shared" si="12"/>
        <v>143685</v>
      </c>
      <c r="Q36" s="99">
        <f>+Q37+Q38+Q39+Q40+Q41+Q42+Q43+Q44</f>
        <v>1472557.4</v>
      </c>
    </row>
    <row r="37" s="10" customFormat="1" ht="35.1" customHeight="1" spans="2:17">
      <c r="B37" s="100" t="s">
        <v>43</v>
      </c>
      <c r="C37" s="101">
        <v>0</v>
      </c>
      <c r="D37" s="119">
        <v>300000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/>
      <c r="L37" s="101"/>
      <c r="M37" s="101"/>
      <c r="N37" s="101"/>
      <c r="O37" s="101">
        <v>0</v>
      </c>
      <c r="P37" s="101">
        <v>143685</v>
      </c>
      <c r="Q37" s="102">
        <f t="shared" ref="Q37:Q51" si="13">+H37+E37+F37+G37+J37+I37+L37+K37+P37+M37+N37+O37</f>
        <v>143685</v>
      </c>
    </row>
    <row r="38" s="10" customFormat="1" ht="35.1" customHeight="1" spans="2:17">
      <c r="B38" s="104" t="s">
        <v>44</v>
      </c>
      <c r="C38" s="101"/>
      <c r="D38" s="119"/>
      <c r="E38" s="101"/>
      <c r="F38" s="101"/>
      <c r="G38" s="101"/>
      <c r="H38" s="101"/>
      <c r="I38" s="101"/>
      <c r="J38" s="101"/>
      <c r="K38" s="101"/>
      <c r="L38" s="101"/>
      <c r="M38" s="101"/>
      <c r="N38" s="101">
        <v>0</v>
      </c>
      <c r="O38" s="101">
        <v>0</v>
      </c>
      <c r="P38" s="101">
        <v>0</v>
      </c>
      <c r="Q38" s="102">
        <f t="shared" si="13"/>
        <v>0</v>
      </c>
    </row>
    <row r="39" s="10" customFormat="1" ht="35.1" customHeight="1" spans="2:17">
      <c r="B39" s="104" t="s">
        <v>45</v>
      </c>
      <c r="C39" s="101"/>
      <c r="D39" s="119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>
        <v>0</v>
      </c>
      <c r="P39" s="101">
        <v>0</v>
      </c>
      <c r="Q39" s="102">
        <f t="shared" si="13"/>
        <v>0</v>
      </c>
    </row>
    <row r="40" s="10" customFormat="1" ht="35.1" customHeight="1" spans="2:17">
      <c r="B40" s="104" t="s">
        <v>46</v>
      </c>
      <c r="C40" s="101"/>
      <c r="D40" s="119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>
        <f t="shared" si="13"/>
        <v>0</v>
      </c>
    </row>
    <row r="41" s="10" customFormat="1" ht="35.1" customHeight="1" spans="2:17">
      <c r="B41" s="104" t="s">
        <v>47</v>
      </c>
      <c r="C41" s="101"/>
      <c r="D41" s="119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>
        <f t="shared" si="13"/>
        <v>0</v>
      </c>
    </row>
    <row r="42" s="10" customFormat="1" ht="35.1" customHeight="1" spans="2:17">
      <c r="B42" s="104" t="s">
        <v>48</v>
      </c>
      <c r="C42" s="101"/>
      <c r="D42" s="119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>
        <f t="shared" si="13"/>
        <v>0</v>
      </c>
    </row>
    <row r="43" s="10" customFormat="1" ht="35.1" customHeight="1" spans="2:17">
      <c r="B43" s="100" t="s">
        <v>49</v>
      </c>
      <c r="C43" s="101"/>
      <c r="D43" s="119">
        <v>1350412</v>
      </c>
      <c r="E43" s="101"/>
      <c r="F43" s="101"/>
      <c r="G43" s="101"/>
      <c r="H43" s="101"/>
      <c r="I43" s="101"/>
      <c r="J43" s="101"/>
      <c r="K43" s="101">
        <v>1328872.4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2">
        <f t="shared" si="13"/>
        <v>1328872.4</v>
      </c>
    </row>
    <row r="44" s="10" customFormat="1" ht="35.1" customHeight="1" spans="2:17">
      <c r="B44" s="104" t="s">
        <v>50</v>
      </c>
      <c r="C44" s="99"/>
      <c r="D44" s="119"/>
      <c r="E44" s="99">
        <f>SUM(E45:E51)</f>
        <v>0</v>
      </c>
      <c r="F44" s="99">
        <f>SUM(F45:F51)</f>
        <v>0</v>
      </c>
      <c r="G44" s="99">
        <f>SUM(G45:G51)</f>
        <v>0</v>
      </c>
      <c r="H44" s="99">
        <f>SUM(H45:H51)</f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102">
        <f t="shared" si="13"/>
        <v>0</v>
      </c>
    </row>
    <row r="45" s="10" customFormat="1" ht="35.1" customHeight="1" spans="2:17">
      <c r="B45" s="97" t="s">
        <v>51</v>
      </c>
      <c r="C45" s="99">
        <v>0</v>
      </c>
      <c r="D45" s="120">
        <v>0</v>
      </c>
      <c r="E45" s="101"/>
      <c r="F45" s="101"/>
      <c r="G45" s="101"/>
      <c r="H45" s="101"/>
      <c r="I45" s="101">
        <v>0</v>
      </c>
      <c r="J45" s="101">
        <v>0</v>
      </c>
      <c r="K45" s="101"/>
      <c r="L45" s="101"/>
      <c r="M45" s="101"/>
      <c r="N45" s="101"/>
      <c r="O45" s="101"/>
      <c r="P45" s="101"/>
      <c r="Q45" s="102">
        <f t="shared" si="13"/>
        <v>0</v>
      </c>
    </row>
    <row r="46" s="10" customFormat="1" ht="35.1" customHeight="1" spans="2:17">
      <c r="B46" s="100" t="s">
        <v>123</v>
      </c>
      <c r="C46" s="101"/>
      <c r="D46" s="119"/>
      <c r="E46" s="101"/>
      <c r="F46" s="101"/>
      <c r="G46" s="101"/>
      <c r="H46" s="101"/>
      <c r="I46" s="101">
        <v>0</v>
      </c>
      <c r="J46" s="101">
        <v>0</v>
      </c>
      <c r="K46" s="101"/>
      <c r="L46" s="101"/>
      <c r="M46" s="101"/>
      <c r="N46" s="101"/>
      <c r="O46" s="101"/>
      <c r="P46" s="101"/>
      <c r="Q46" s="102">
        <f t="shared" si="13"/>
        <v>0</v>
      </c>
    </row>
    <row r="47" s="10" customFormat="1" ht="35.1" customHeight="1" spans="2:17">
      <c r="B47" s="104" t="s">
        <v>52</v>
      </c>
      <c r="C47" s="101"/>
      <c r="D47" s="119"/>
      <c r="E47" s="101"/>
      <c r="F47" s="101"/>
      <c r="G47" s="101"/>
      <c r="H47" s="101"/>
      <c r="I47" s="101">
        <v>0</v>
      </c>
      <c r="J47" s="101">
        <v>0</v>
      </c>
      <c r="K47" s="101"/>
      <c r="L47" s="101"/>
      <c r="M47" s="101"/>
      <c r="N47" s="101"/>
      <c r="O47" s="101"/>
      <c r="P47" s="101"/>
      <c r="Q47" s="102">
        <f t="shared" si="13"/>
        <v>0</v>
      </c>
    </row>
    <row r="48" s="10" customFormat="1" ht="35.1" customHeight="1" spans="2:17">
      <c r="B48" s="104" t="s">
        <v>53</v>
      </c>
      <c r="C48" s="101"/>
      <c r="D48" s="121"/>
      <c r="E48" s="101"/>
      <c r="F48" s="101"/>
      <c r="G48" s="101"/>
      <c r="H48" s="101"/>
      <c r="I48" s="101">
        <v>0</v>
      </c>
      <c r="J48" s="101">
        <v>0</v>
      </c>
      <c r="K48" s="101"/>
      <c r="L48" s="101"/>
      <c r="M48" s="101"/>
      <c r="N48" s="101"/>
      <c r="O48" s="101"/>
      <c r="P48" s="101"/>
      <c r="Q48" s="102">
        <f t="shared" si="13"/>
        <v>0</v>
      </c>
    </row>
    <row r="49" s="10" customFormat="1" ht="35.1" customHeight="1" spans="2:17">
      <c r="B49" s="104" t="s">
        <v>54</v>
      </c>
      <c r="C49" s="101"/>
      <c r="D49" s="119"/>
      <c r="E49" s="101"/>
      <c r="F49" s="101"/>
      <c r="G49" s="101"/>
      <c r="H49" s="101"/>
      <c r="I49" s="101">
        <v>0</v>
      </c>
      <c r="J49" s="101">
        <v>0</v>
      </c>
      <c r="K49" s="101"/>
      <c r="L49" s="101"/>
      <c r="M49" s="101"/>
      <c r="N49" s="101"/>
      <c r="O49" s="101"/>
      <c r="P49" s="101"/>
      <c r="Q49" s="102">
        <f t="shared" si="13"/>
        <v>0</v>
      </c>
    </row>
    <row r="50" s="10" customFormat="1" ht="35.1" customHeight="1" spans="2:17">
      <c r="B50" s="100" t="s">
        <v>55</v>
      </c>
      <c r="C50" s="101"/>
      <c r="D50" s="119"/>
      <c r="E50" s="101"/>
      <c r="F50" s="101"/>
      <c r="G50" s="101"/>
      <c r="H50" s="101"/>
      <c r="I50" s="101">
        <v>0</v>
      </c>
      <c r="J50" s="101">
        <v>0</v>
      </c>
      <c r="K50" s="101"/>
      <c r="L50" s="101"/>
      <c r="M50" s="101"/>
      <c r="N50" s="101"/>
      <c r="O50" s="101"/>
      <c r="P50" s="101"/>
      <c r="Q50" s="102">
        <f t="shared" si="13"/>
        <v>0</v>
      </c>
    </row>
    <row r="51" s="10" customFormat="1" ht="35.1" customHeight="1" spans="2:17">
      <c r="B51" s="104" t="s">
        <v>56</v>
      </c>
      <c r="C51" s="101"/>
      <c r="D51" s="119"/>
      <c r="E51" s="101"/>
      <c r="F51" s="101"/>
      <c r="G51" s="101"/>
      <c r="H51" s="101"/>
      <c r="I51" s="101">
        <v>0</v>
      </c>
      <c r="J51" s="101">
        <v>0</v>
      </c>
      <c r="K51" s="101"/>
      <c r="L51" s="101"/>
      <c r="M51" s="101"/>
      <c r="N51" s="101"/>
      <c r="O51" s="101"/>
      <c r="P51" s="101"/>
      <c r="Q51" s="102">
        <f t="shared" si="13"/>
        <v>0</v>
      </c>
    </row>
    <row r="52" s="10" customFormat="1" ht="35.1" customHeight="1" spans="2:17">
      <c r="B52" s="97" t="s">
        <v>57</v>
      </c>
      <c r="C52" s="99">
        <f>SUM(C53:C61)</f>
        <v>139200000</v>
      </c>
      <c r="D52" s="99">
        <f>SUM(D53:D61)</f>
        <v>41826195</v>
      </c>
      <c r="E52" s="99">
        <f t="shared" ref="E52:L52" si="14">SUM(E53:E61)</f>
        <v>0</v>
      </c>
      <c r="F52" s="99">
        <f t="shared" si="14"/>
        <v>5108692</v>
      </c>
      <c r="G52" s="99">
        <f t="shared" si="14"/>
        <v>3275143.83</v>
      </c>
      <c r="H52" s="99">
        <f t="shared" si="14"/>
        <v>12829393</v>
      </c>
      <c r="I52" s="99">
        <f t="shared" si="14"/>
        <v>3821925.28</v>
      </c>
      <c r="J52" s="99">
        <f t="shared" si="14"/>
        <v>500000.01</v>
      </c>
      <c r="K52" s="99">
        <f t="shared" ref="K52" si="15">SUM(K53:K61)</f>
        <v>0</v>
      </c>
      <c r="L52" s="99">
        <f t="shared" si="14"/>
        <v>427619.02</v>
      </c>
      <c r="M52" s="99">
        <f t="shared" ref="M52:Q52" si="16">SUM(M53:M61)</f>
        <v>34004809.6</v>
      </c>
      <c r="N52" s="99">
        <f t="shared" ref="N52:O52" si="17">SUM(N53:N61)</f>
        <v>378977.95</v>
      </c>
      <c r="O52" s="99">
        <f t="shared" si="17"/>
        <v>9621179.08</v>
      </c>
      <c r="P52" s="99">
        <f t="shared" si="16"/>
        <v>4728572.08</v>
      </c>
      <c r="Q52" s="99">
        <f t="shared" si="16"/>
        <v>74696311.85</v>
      </c>
    </row>
    <row r="53" s="10" customFormat="1" ht="35.1" customHeight="1" spans="2:17">
      <c r="B53" s="100" t="s">
        <v>58</v>
      </c>
      <c r="C53" s="101">
        <v>85300000</v>
      </c>
      <c r="D53" s="119">
        <v>-50733405</v>
      </c>
      <c r="E53" s="101"/>
      <c r="F53" s="101"/>
      <c r="G53" s="101"/>
      <c r="H53" s="101">
        <v>0</v>
      </c>
      <c r="I53" s="101">
        <v>424849.09</v>
      </c>
      <c r="J53" s="101">
        <v>0</v>
      </c>
      <c r="K53" s="101"/>
      <c r="L53" s="101">
        <v>246620</v>
      </c>
      <c r="M53" s="101">
        <v>144809.6</v>
      </c>
      <c r="N53" s="101">
        <v>335317.95</v>
      </c>
      <c r="O53" s="101">
        <v>247800</v>
      </c>
      <c r="P53" s="101">
        <f>6124776.72-5446250.6</f>
        <v>678526.12</v>
      </c>
      <c r="Q53" s="102">
        <f t="shared" ref="Q53:Q61" si="18">+H53+E53+F53+G53+J53+I53+L53+K53+P53+M53+N53+O53</f>
        <v>2077922.76</v>
      </c>
    </row>
    <row r="54" s="10" customFormat="1" ht="35.1" customHeight="1" spans="2:17">
      <c r="B54" s="104" t="s">
        <v>59</v>
      </c>
      <c r="C54" s="101">
        <v>900000</v>
      </c>
      <c r="D54" s="119">
        <v>2300000</v>
      </c>
      <c r="E54" s="101"/>
      <c r="F54" s="101">
        <v>16992</v>
      </c>
      <c r="G54" s="101">
        <v>0</v>
      </c>
      <c r="H54" s="101">
        <v>351168</v>
      </c>
      <c r="I54" s="101">
        <v>1886676.19</v>
      </c>
      <c r="J54" s="101">
        <v>0</v>
      </c>
      <c r="K54" s="101"/>
      <c r="L54" s="101"/>
      <c r="M54" s="101"/>
      <c r="N54" s="101"/>
      <c r="O54" s="101">
        <v>112395</v>
      </c>
      <c r="P54" s="101"/>
      <c r="Q54" s="102">
        <f t="shared" si="18"/>
        <v>2367231.19</v>
      </c>
    </row>
    <row r="55" s="10" customFormat="1" ht="35.1" customHeight="1" spans="2:17">
      <c r="B55" s="100" t="s">
        <v>60</v>
      </c>
      <c r="C55" s="101">
        <v>250000</v>
      </c>
      <c r="D55" s="119">
        <v>0</v>
      </c>
      <c r="E55" s="101"/>
      <c r="F55" s="101"/>
      <c r="G55" s="101"/>
      <c r="H55" s="101">
        <v>0</v>
      </c>
      <c r="I55" s="101">
        <v>0</v>
      </c>
      <c r="J55" s="101">
        <v>0</v>
      </c>
      <c r="K55" s="101"/>
      <c r="L55" s="101"/>
      <c r="M55" s="101"/>
      <c r="N55" s="101">
        <v>43660</v>
      </c>
      <c r="O55" s="101"/>
      <c r="P55" s="101"/>
      <c r="Q55" s="102">
        <f t="shared" si="18"/>
        <v>43660</v>
      </c>
    </row>
    <row r="56" s="10" customFormat="1" ht="35.1" customHeight="1" spans="2:17">
      <c r="B56" s="104" t="s">
        <v>61</v>
      </c>
      <c r="C56" s="101">
        <v>30250000</v>
      </c>
      <c r="D56" s="119">
        <v>42659600</v>
      </c>
      <c r="E56" s="101"/>
      <c r="F56" s="101"/>
      <c r="G56" s="101"/>
      <c r="H56" s="101"/>
      <c r="I56" s="101">
        <v>0</v>
      </c>
      <c r="J56" s="101">
        <v>500000.01</v>
      </c>
      <c r="K56" s="101"/>
      <c r="L56" s="101"/>
      <c r="M56" s="101">
        <v>29960000</v>
      </c>
      <c r="N56" s="101"/>
      <c r="O56" s="101">
        <v>9260984.08</v>
      </c>
      <c r="P56" s="101"/>
      <c r="Q56" s="102">
        <f t="shared" si="18"/>
        <v>39720984.09</v>
      </c>
    </row>
    <row r="57" s="10" customFormat="1" ht="35.1" customHeight="1" spans="2:17">
      <c r="B57" s="100" t="s">
        <v>62</v>
      </c>
      <c r="C57" s="101">
        <v>16700000</v>
      </c>
      <c r="D57" s="119">
        <v>7200000</v>
      </c>
      <c r="E57" s="101"/>
      <c r="F57" s="101">
        <v>5091700</v>
      </c>
      <c r="G57" s="101">
        <v>3275143.83</v>
      </c>
      <c r="H57" s="101">
        <v>10443600</v>
      </c>
      <c r="I57" s="101">
        <v>0</v>
      </c>
      <c r="J57" s="101">
        <v>0</v>
      </c>
      <c r="K57" s="101"/>
      <c r="L57" s="101"/>
      <c r="M57" s="101"/>
      <c r="N57" s="101"/>
      <c r="O57" s="101"/>
      <c r="P57" s="101">
        <v>258136.8</v>
      </c>
      <c r="Q57" s="102">
        <f t="shared" si="18"/>
        <v>19068580.63</v>
      </c>
    </row>
    <row r="58" s="10" customFormat="1" ht="35.1" customHeight="1" spans="2:17">
      <c r="B58" s="100" t="s">
        <v>63</v>
      </c>
      <c r="C58" s="101">
        <v>5000000</v>
      </c>
      <c r="D58" s="119">
        <v>7900000</v>
      </c>
      <c r="E58" s="101"/>
      <c r="F58" s="101"/>
      <c r="G58" s="101"/>
      <c r="H58" s="101"/>
      <c r="I58" s="101">
        <v>1510400</v>
      </c>
      <c r="J58" s="101">
        <v>0</v>
      </c>
      <c r="K58" s="101"/>
      <c r="L58" s="101"/>
      <c r="M58" s="101"/>
      <c r="N58" s="101"/>
      <c r="O58" s="101"/>
      <c r="P58" s="101">
        <f>6788059.16-5596150</f>
        <v>1191909.16</v>
      </c>
      <c r="Q58" s="102">
        <f t="shared" si="18"/>
        <v>2702309.16</v>
      </c>
    </row>
    <row r="59" s="10" customFormat="1" ht="35.1" customHeight="1" spans="2:17">
      <c r="B59" s="100" t="s">
        <v>64</v>
      </c>
      <c r="C59" s="101"/>
      <c r="D59" s="119"/>
      <c r="E59" s="101"/>
      <c r="F59" s="101"/>
      <c r="G59" s="101"/>
      <c r="H59" s="101"/>
      <c r="I59" s="101">
        <v>0</v>
      </c>
      <c r="J59" s="101">
        <v>0</v>
      </c>
      <c r="K59" s="101"/>
      <c r="L59" s="101"/>
      <c r="M59" s="101"/>
      <c r="N59" s="101"/>
      <c r="O59" s="101"/>
      <c r="P59" s="101"/>
      <c r="Q59" s="102">
        <f t="shared" si="18"/>
        <v>0</v>
      </c>
    </row>
    <row r="60" s="10" customFormat="1" ht="35.1" customHeight="1" spans="2:17">
      <c r="B60" s="100" t="s">
        <v>65</v>
      </c>
      <c r="C60" s="101">
        <v>300000</v>
      </c>
      <c r="D60" s="119">
        <v>14500000</v>
      </c>
      <c r="E60" s="101"/>
      <c r="F60" s="101"/>
      <c r="G60" s="101"/>
      <c r="H60" s="101">
        <v>2034625</v>
      </c>
      <c r="I60" s="101">
        <v>0</v>
      </c>
      <c r="J60" s="101">
        <v>0</v>
      </c>
      <c r="K60" s="101"/>
      <c r="L60" s="101">
        <v>180999.02</v>
      </c>
      <c r="M60" s="101">
        <v>3900000</v>
      </c>
      <c r="N60" s="101"/>
      <c r="O60" s="101"/>
      <c r="P60" s="101">
        <f>6420000-3820000</f>
        <v>2600000</v>
      </c>
      <c r="Q60" s="102">
        <f t="shared" si="18"/>
        <v>8715624.02</v>
      </c>
    </row>
    <row r="61" s="10" customFormat="1" ht="35.1" customHeight="1" spans="2:17">
      <c r="B61" s="104" t="s">
        <v>66</v>
      </c>
      <c r="C61" s="101">
        <v>500000</v>
      </c>
      <c r="D61" s="119">
        <v>18000000</v>
      </c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>
        <f t="shared" si="18"/>
        <v>0</v>
      </c>
    </row>
    <row r="62" s="10" customFormat="1" ht="35.1" customHeight="1" spans="2:17">
      <c r="B62" s="97" t="s">
        <v>67</v>
      </c>
      <c r="C62" s="99">
        <f>SUM(C63:C66)</f>
        <v>40000000</v>
      </c>
      <c r="D62" s="99">
        <f>SUM(D63:D66)</f>
        <v>20000000</v>
      </c>
      <c r="E62" s="99">
        <f t="shared" ref="E62:L62" si="19">SUM(E63:E65)</f>
        <v>0</v>
      </c>
      <c r="F62" s="99">
        <f t="shared" si="19"/>
        <v>0</v>
      </c>
      <c r="G62" s="99">
        <f t="shared" si="19"/>
        <v>0</v>
      </c>
      <c r="H62" s="99">
        <f t="shared" si="19"/>
        <v>0</v>
      </c>
      <c r="I62" s="99">
        <f t="shared" si="19"/>
        <v>230000</v>
      </c>
      <c r="J62" s="99">
        <f t="shared" si="19"/>
        <v>0</v>
      </c>
      <c r="K62" s="99"/>
      <c r="L62" s="99">
        <f t="shared" si="19"/>
        <v>2800000</v>
      </c>
      <c r="M62" s="99">
        <f t="shared" ref="M62:P62" si="20">SUM(M63:M65)</f>
        <v>0</v>
      </c>
      <c r="N62" s="99">
        <f t="shared" ref="N62:O62" si="21">SUM(N63:N65)</f>
        <v>0</v>
      </c>
      <c r="O62" s="99">
        <f t="shared" si="21"/>
        <v>0</v>
      </c>
      <c r="P62" s="99">
        <f t="shared" si="20"/>
        <v>7568326.15</v>
      </c>
      <c r="Q62" s="99">
        <f>SUM(Q63:Q71)</f>
        <v>10598326.15</v>
      </c>
    </row>
    <row r="63" s="10" customFormat="1" ht="35.1" customHeight="1" spans="2:17">
      <c r="B63" s="100" t="s">
        <v>68</v>
      </c>
      <c r="C63" s="101">
        <v>40000000</v>
      </c>
      <c r="D63" s="119">
        <v>20000000</v>
      </c>
      <c r="E63" s="101"/>
      <c r="F63" s="101"/>
      <c r="G63" s="101"/>
      <c r="H63" s="101"/>
      <c r="I63" s="101">
        <v>230000</v>
      </c>
      <c r="J63" s="101">
        <v>0</v>
      </c>
      <c r="K63" s="101"/>
      <c r="L63" s="101">
        <v>2800000</v>
      </c>
      <c r="M63" s="101">
        <v>0</v>
      </c>
      <c r="N63" s="101">
        <v>0</v>
      </c>
      <c r="O63" s="101">
        <v>0</v>
      </c>
      <c r="P63" s="101">
        <v>7568326.15</v>
      </c>
      <c r="Q63" s="102">
        <f t="shared" ref="Q63:Q82" si="22">+H63+E63+F63+G63+J63+I63+L63+K63+P63+M63+N63+O63</f>
        <v>10598326.15</v>
      </c>
    </row>
    <row r="64" s="10" customFormat="1" ht="35.1" customHeight="1" spans="2:17">
      <c r="B64" s="100" t="s">
        <v>69</v>
      </c>
      <c r="C64" s="101"/>
      <c r="D64" s="119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>
        <f t="shared" si="22"/>
        <v>0</v>
      </c>
    </row>
    <row r="65" s="10" customFormat="1" ht="35.1" customHeight="1" spans="2:17">
      <c r="B65" s="100" t="s">
        <v>70</v>
      </c>
      <c r="C65" s="101"/>
      <c r="D65" s="119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>
        <f t="shared" si="22"/>
        <v>0</v>
      </c>
    </row>
    <row r="66" s="10" customFormat="1" ht="35.1" customHeight="1" spans="2:17">
      <c r="B66" s="104" t="s">
        <v>71</v>
      </c>
      <c r="C66" s="101"/>
      <c r="D66" s="119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>
        <f t="shared" si="22"/>
        <v>0</v>
      </c>
    </row>
    <row r="67" s="10" customFormat="1" ht="35.1" customHeight="1" spans="2:17">
      <c r="B67" s="106" t="s">
        <v>72</v>
      </c>
      <c r="C67" s="99"/>
      <c r="D67" s="120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102">
        <f t="shared" si="22"/>
        <v>0</v>
      </c>
    </row>
    <row r="68" s="10" customFormat="1" ht="35.1" customHeight="1" spans="2:17">
      <c r="B68" s="100" t="s">
        <v>73</v>
      </c>
      <c r="C68" s="101"/>
      <c r="D68" s="119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>
        <f t="shared" si="22"/>
        <v>0</v>
      </c>
    </row>
    <row r="69" s="10" customFormat="1" ht="35.1" customHeight="1" spans="2:17">
      <c r="B69" s="104" t="s">
        <v>74</v>
      </c>
      <c r="C69" s="101"/>
      <c r="D69" s="119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>
        <f t="shared" si="22"/>
        <v>0</v>
      </c>
    </row>
    <row r="70" s="10" customFormat="1" ht="35.1" customHeight="1" spans="2:17">
      <c r="B70" s="97" t="s">
        <v>75</v>
      </c>
      <c r="C70" s="99">
        <f>SUM(C71:C73)</f>
        <v>0</v>
      </c>
      <c r="D70" s="120"/>
      <c r="E70" s="99">
        <f>SUM(E71:E73)</f>
        <v>0</v>
      </c>
      <c r="F70" s="99">
        <f>SUM(F71:F73)</f>
        <v>0</v>
      </c>
      <c r="G70" s="99">
        <f>SUM(G71:G73)</f>
        <v>0</v>
      </c>
      <c r="H70" s="99">
        <f>SUM(H71:H73)</f>
        <v>0</v>
      </c>
      <c r="I70" s="99"/>
      <c r="J70" s="99"/>
      <c r="K70" s="99"/>
      <c r="L70" s="99"/>
      <c r="M70" s="99"/>
      <c r="N70" s="99"/>
      <c r="O70" s="99"/>
      <c r="P70" s="99"/>
      <c r="Q70" s="102">
        <f t="shared" si="22"/>
        <v>0</v>
      </c>
    </row>
    <row r="71" s="10" customFormat="1" ht="35.1" customHeight="1" spans="2:17">
      <c r="B71" s="100" t="s">
        <v>76</v>
      </c>
      <c r="C71" s="101"/>
      <c r="D71" s="119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>
        <f t="shared" si="22"/>
        <v>0</v>
      </c>
    </row>
    <row r="72" s="10" customFormat="1" ht="35.1" customHeight="1" spans="2:17">
      <c r="B72" s="100" t="s">
        <v>77</v>
      </c>
      <c r="C72" s="101"/>
      <c r="D72" s="119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>
        <f t="shared" si="22"/>
        <v>0</v>
      </c>
    </row>
    <row r="73" s="10" customFormat="1" ht="35.1" customHeight="1" spans="2:17">
      <c r="B73" s="104" t="s">
        <v>78</v>
      </c>
      <c r="C73" s="101"/>
      <c r="D73" s="119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>
        <f t="shared" si="22"/>
        <v>0</v>
      </c>
    </row>
    <row r="74" s="10" customFormat="1" ht="35.1" customHeight="1" spans="2:17">
      <c r="B74" s="97" t="s">
        <v>79</v>
      </c>
      <c r="C74" s="107"/>
      <c r="D74" s="120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2">
        <f t="shared" si="22"/>
        <v>0</v>
      </c>
    </row>
    <row r="75" s="10" customFormat="1" ht="35.1" customHeight="1" spans="2:17">
      <c r="B75" s="97" t="s">
        <v>80</v>
      </c>
      <c r="C75" s="107"/>
      <c r="D75" s="120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2">
        <f t="shared" si="22"/>
        <v>0</v>
      </c>
    </row>
    <row r="76" s="10" customFormat="1" ht="35.1" customHeight="1" spans="2:17">
      <c r="B76" s="100" t="s">
        <v>81</v>
      </c>
      <c r="C76" s="108"/>
      <c r="D76" s="119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2">
        <f t="shared" si="22"/>
        <v>0</v>
      </c>
    </row>
    <row r="77" s="10" customFormat="1" ht="35.1" customHeight="1" spans="2:17">
      <c r="B77" s="100" t="s">
        <v>82</v>
      </c>
      <c r="C77" s="108"/>
      <c r="D77" s="119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2">
        <f t="shared" si="22"/>
        <v>0</v>
      </c>
    </row>
    <row r="78" s="10" customFormat="1" ht="35.1" customHeight="1" spans="2:17">
      <c r="B78" s="97" t="s">
        <v>83</v>
      </c>
      <c r="C78" s="107"/>
      <c r="D78" s="120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2">
        <f t="shared" si="22"/>
        <v>0</v>
      </c>
    </row>
    <row r="79" s="10" customFormat="1" ht="35.1" customHeight="1" spans="2:17">
      <c r="B79" s="100" t="s">
        <v>84</v>
      </c>
      <c r="C79" s="108"/>
      <c r="D79" s="119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2">
        <f t="shared" si="22"/>
        <v>0</v>
      </c>
    </row>
    <row r="80" s="10" customFormat="1" ht="35.1" customHeight="1" spans="2:17">
      <c r="B80" s="100" t="s">
        <v>85</v>
      </c>
      <c r="C80" s="108"/>
      <c r="D80" s="119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2">
        <f t="shared" si="22"/>
        <v>0</v>
      </c>
    </row>
    <row r="81" s="10" customFormat="1" ht="35.1" customHeight="1" spans="2:17">
      <c r="B81" s="97" t="s">
        <v>86</v>
      </c>
      <c r="C81" s="107"/>
      <c r="D81" s="120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2">
        <f t="shared" si="22"/>
        <v>0</v>
      </c>
    </row>
    <row r="82" s="10" customFormat="1" ht="35.1" customHeight="1" spans="2:17">
      <c r="B82" s="100" t="s">
        <v>87</v>
      </c>
      <c r="C82" s="108"/>
      <c r="D82" s="119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2">
        <f t="shared" si="22"/>
        <v>0</v>
      </c>
    </row>
    <row r="83" s="10" customFormat="1" ht="35.1" customHeight="1" spans="2:17">
      <c r="B83" s="109" t="s">
        <v>88</v>
      </c>
      <c r="C83" s="110">
        <f>+C10+C16+C26+C36+C44+C52+C62+C67+C70</f>
        <v>2403578297</v>
      </c>
      <c r="D83" s="110">
        <f>+D10+D16+D26+D36+D44+D52+D62+D67+D70</f>
        <v>22655432.22</v>
      </c>
      <c r="E83" s="110">
        <f t="shared" ref="E83:L83" si="23">+E10+E16+E26+E36+E44+E52+E62+E67+E70</f>
        <v>59347772.68</v>
      </c>
      <c r="F83" s="110">
        <f t="shared" si="23"/>
        <v>71310108.34</v>
      </c>
      <c r="G83" s="110">
        <f t="shared" si="23"/>
        <v>325941464.73</v>
      </c>
      <c r="H83" s="110">
        <f t="shared" si="23"/>
        <v>322059301.45</v>
      </c>
      <c r="I83" s="110">
        <f t="shared" si="23"/>
        <v>117510627.82</v>
      </c>
      <c r="J83" s="110">
        <f t="shared" si="23"/>
        <v>85522503.05</v>
      </c>
      <c r="K83" s="110">
        <f t="shared" ref="K83" si="24">+K10+K16+K26+K36+K44+K52+K62+K67+K70</f>
        <v>82936856.97</v>
      </c>
      <c r="L83" s="110">
        <f t="shared" si="23"/>
        <v>82512694.84</v>
      </c>
      <c r="M83" s="110">
        <f t="shared" ref="M83:P83" si="25">+M10+M16+M26+M36+M44+M52+M62+M67+M70</f>
        <v>171276133.12</v>
      </c>
      <c r="N83" s="110">
        <f t="shared" ref="N83:O83" si="26">+N10+N16+N26+N36+N44+N52+N62+N67+N70</f>
        <v>117304213.67</v>
      </c>
      <c r="O83" s="110">
        <f t="shared" si="26"/>
        <v>166995587.19</v>
      </c>
      <c r="P83" s="110">
        <f t="shared" si="25"/>
        <v>164321560.86</v>
      </c>
      <c r="Q83" s="110">
        <f>+Q62+Q52+Q26+Q16+Q10+Q36</f>
        <v>1767038824.72</v>
      </c>
    </row>
    <row r="84" ht="18.75" spans="2:17">
      <c r="B84" s="111" t="s">
        <v>124</v>
      </c>
      <c r="C84" s="8"/>
      <c r="Q84" s="91"/>
    </row>
    <row r="85" ht="18.75" spans="2:17">
      <c r="B85" s="112" t="s">
        <v>90</v>
      </c>
      <c r="C85" s="91"/>
      <c r="H85" s="91"/>
      <c r="I85" s="91"/>
      <c r="J85" s="91"/>
      <c r="K85" s="91"/>
      <c r="L85" s="91"/>
      <c r="M85" s="91"/>
      <c r="N85" s="91"/>
      <c r="O85" s="91"/>
      <c r="P85" s="91"/>
      <c r="Q85" s="91"/>
    </row>
    <row r="86" ht="37.5" spans="2:17">
      <c r="B86" s="112" t="s">
        <v>91</v>
      </c>
      <c r="Q86" s="91"/>
    </row>
    <row r="87" ht="18.75" spans="2:17">
      <c r="B87" s="112" t="s">
        <v>92</v>
      </c>
      <c r="Q87" s="8"/>
    </row>
    <row r="88" ht="18.75" spans="2:17">
      <c r="B88" s="112" t="s">
        <v>93</v>
      </c>
    </row>
    <row r="89" ht="18.75" spans="2:17">
      <c r="B89" s="112" t="s">
        <v>94</v>
      </c>
      <c r="Q89" s="91"/>
    </row>
    <row r="90" ht="18.75" spans="2:17">
      <c r="B90" s="112" t="s">
        <v>95</v>
      </c>
    </row>
    <row r="91" ht="76.5" customHeight="1" spans="2:17">
      <c r="B91" s="112" t="s">
        <v>136</v>
      </c>
    </row>
    <row r="92" spans="2:17">
      <c r="B92" s="114"/>
    </row>
    <row r="94" spans="2:17">
      <c r="B94" s="114"/>
    </row>
    <row r="95" spans="2:17">
      <c r="B95" s="114"/>
    </row>
    <row r="96" ht="24.95" customHeight="1" spans="2:17">
      <c r="B96" s="62" t="s">
        <v>129</v>
      </c>
      <c r="C96" s="57"/>
      <c r="E96" s="57"/>
      <c r="F96" s="57"/>
      <c r="G96" s="57"/>
      <c r="H96" s="57"/>
      <c r="J96" s="57"/>
      <c r="K96" s="57"/>
      <c r="N96" s="58" t="s">
        <v>101</v>
      </c>
      <c r="O96" s="58"/>
      <c r="P96" s="57"/>
      <c r="Q96" s="57"/>
    </row>
    <row r="97" ht="23.25" customHeight="1" spans="1:17">
      <c r="B97" s="115" t="s">
        <v>137</v>
      </c>
      <c r="C97" s="116"/>
      <c r="E97" s="116"/>
      <c r="F97" s="116"/>
      <c r="G97" s="116"/>
      <c r="H97" s="116"/>
      <c r="J97" s="116"/>
      <c r="K97" s="116"/>
      <c r="N97" s="115" t="s">
        <v>132</v>
      </c>
      <c r="O97" s="115"/>
      <c r="P97" s="116"/>
      <c r="Q97" s="116"/>
    </row>
    <row r="99" ht="33.75" customHeight="1" spans="1:17">
      <c r="A99" s="56" t="s">
        <v>97</v>
      </c>
    </row>
    <row r="100" ht="23.25" customHeight="1" spans="1:17">
      <c r="B100" s="62" t="s">
        <v>138</v>
      </c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</row>
    <row r="101" ht="18.75" spans="1:17">
      <c r="B101" s="115" t="s">
        <v>139</v>
      </c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</row>
    <row r="102" ht="23.25" spans="1:17">
      <c r="B102" s="62"/>
      <c r="C102" s="62"/>
      <c r="D102" s="62"/>
    </row>
    <row r="103" ht="23.25" spans="1:17">
      <c r="B103" s="63" t="s">
        <v>98</v>
      </c>
      <c r="C103" s="63"/>
      <c r="D103" s="63"/>
    </row>
    <row r="104" ht="21" customHeight="1" spans="1:17">
      <c r="B104" s="61" t="s">
        <v>99</v>
      </c>
      <c r="C104" s="61"/>
    </row>
    <row r="105" ht="21" spans="1:17">
      <c r="B105" s="64"/>
      <c r="C105" s="64"/>
      <c r="D105" s="64"/>
    </row>
  </sheetData>
  <mergeCells count="15">
    <mergeCell ref="B1:Q1"/>
    <mergeCell ref="B2:Q2"/>
    <mergeCell ref="B3:Q3"/>
    <mergeCell ref="B4:Q4"/>
    <mergeCell ref="B5:Q5"/>
    <mergeCell ref="E7:H7"/>
    <mergeCell ref="N96:O96"/>
    <mergeCell ref="N97:O97"/>
    <mergeCell ref="B100:Q100"/>
    <mergeCell ref="B101:Q101"/>
    <mergeCell ref="B102:D102"/>
    <mergeCell ref="B105:D105"/>
    <mergeCell ref="B7:B8"/>
    <mergeCell ref="C7:C8"/>
    <mergeCell ref="D7:D8"/>
  </mergeCells>
  <pageMargins left="0.62992125984252" right="0.31496062992126" top="0.62992125984252" bottom="0.393700787401575" header="0.669291338582677" footer="0.31496062992126"/>
  <pageSetup paperSize="5" scale="37" fitToHeight="0" orientation="landscape"/>
  <headerFooter>
    <oddFooter>&amp;CPágina &amp;P</oddFooter>
  </headerFooter>
  <rowBreaks count="2" manualBreakCount="2">
    <brk id="36" max="25" man="1"/>
    <brk id="64" max="25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I438"/>
  <sheetViews>
    <sheetView topLeftCell="A281" workbookViewId="0">
      <selection activeCell="G34" sqref="G34"/>
    </sheetView>
  </sheetViews>
  <sheetFormatPr defaultColWidth="11" defaultRowHeight="15"/>
  <cols>
    <col min="11" max="11" width="14.1428571428571" customWidth="1"/>
  </cols>
  <sheetData>
    <row r="6" ht="15.75"/>
    <row r="7" ht="15.75" spans="2:9">
      <c r="B7" s="123"/>
      <c r="C7" s="124"/>
      <c r="D7" s="124"/>
      <c r="E7" s="124"/>
      <c r="F7" s="125"/>
      <c r="G7" s="126"/>
      <c r="H7" s="126"/>
    </row>
    <row r="8" ht="36" customHeight="1" spans="2:9">
      <c r="B8" s="127" t="s">
        <v>140</v>
      </c>
      <c r="C8" s="128" t="s">
        <v>141</v>
      </c>
      <c r="D8" s="129"/>
      <c r="E8" s="129"/>
      <c r="F8" s="130"/>
      <c r="G8" s="131"/>
      <c r="H8" s="131"/>
      <c r="I8" s="132" t="s">
        <v>142</v>
      </c>
    </row>
    <row r="9" ht="36.75" spans="2:9">
      <c r="B9" s="133"/>
      <c r="C9" s="134" t="s">
        <v>143</v>
      </c>
      <c r="D9" s="134" t="s">
        <v>144</v>
      </c>
      <c r="E9" s="134" t="s">
        <v>145</v>
      </c>
      <c r="F9" s="135" t="s">
        <v>14</v>
      </c>
      <c r="G9" s="136"/>
      <c r="H9" s="136"/>
      <c r="I9" s="137"/>
    </row>
    <row r="10" ht="15.75" spans="2:9">
      <c r="B10" s="133" t="s">
        <v>146</v>
      </c>
      <c r="C10" s="3">
        <v>1268140.1</v>
      </c>
      <c r="D10" s="138">
        <v>0</v>
      </c>
      <c r="E10" s="138">
        <v>0</v>
      </c>
      <c r="F10" s="1">
        <v>1268140.1</v>
      </c>
      <c r="G10" s="136"/>
      <c r="H10" s="136"/>
      <c r="I10" s="137"/>
    </row>
    <row r="11" ht="15.75" spans="2:9">
      <c r="B11" s="133" t="s">
        <v>147</v>
      </c>
      <c r="C11" s="3">
        <v>1268140.1</v>
      </c>
      <c r="D11" s="138">
        <v>0</v>
      </c>
      <c r="E11" s="138">
        <v>0</v>
      </c>
      <c r="G11" s="136"/>
      <c r="H11" s="136"/>
      <c r="I11" s="137"/>
    </row>
    <row r="12" ht="15.75" spans="2:9">
      <c r="B12" s="139" t="s">
        <v>148</v>
      </c>
      <c r="C12" s="140">
        <v>0</v>
      </c>
      <c r="D12" s="140">
        <v>0</v>
      </c>
      <c r="E12" s="140">
        <v>0</v>
      </c>
      <c r="F12" s="141">
        <v>0</v>
      </c>
      <c r="G12" s="142"/>
      <c r="H12" s="142"/>
      <c r="I12" s="143"/>
    </row>
    <row r="13" ht="36" customHeight="1" spans="2:9">
      <c r="B13" s="127" t="s">
        <v>140</v>
      </c>
      <c r="C13" s="128" t="s">
        <v>149</v>
      </c>
      <c r="D13" s="129"/>
      <c r="E13" s="129"/>
      <c r="F13" s="130"/>
      <c r="G13" s="131"/>
      <c r="H13" s="131"/>
      <c r="I13" s="132" t="s">
        <v>142</v>
      </c>
    </row>
    <row r="14" ht="36.75" spans="2:9">
      <c r="B14" s="133"/>
      <c r="C14" s="134" t="s">
        <v>143</v>
      </c>
      <c r="D14" s="134" t="s">
        <v>144</v>
      </c>
      <c r="E14" s="134" t="s">
        <v>145</v>
      </c>
      <c r="F14" s="135" t="s">
        <v>14</v>
      </c>
      <c r="G14" s="136"/>
      <c r="H14" s="136"/>
      <c r="I14" s="137"/>
    </row>
    <row r="15" ht="15.75" spans="2:9">
      <c r="B15" s="133" t="s">
        <v>146</v>
      </c>
      <c r="C15" s="3">
        <v>363676</v>
      </c>
      <c r="D15" s="138">
        <v>0</v>
      </c>
      <c r="E15" s="138">
        <v>0</v>
      </c>
      <c r="F15" s="1">
        <v>363676</v>
      </c>
      <c r="G15" s="136"/>
      <c r="H15" s="136"/>
      <c r="I15" s="137"/>
    </row>
    <row r="16" ht="15.75" spans="2:9">
      <c r="B16" s="133" t="s">
        <v>147</v>
      </c>
      <c r="C16" s="3">
        <v>363676</v>
      </c>
      <c r="D16" s="138">
        <v>0</v>
      </c>
      <c r="E16" s="138">
        <v>0</v>
      </c>
      <c r="G16" s="136"/>
      <c r="H16" s="136"/>
      <c r="I16" s="137"/>
    </row>
    <row r="17" ht="15.75" spans="2:9">
      <c r="B17" s="139" t="s">
        <v>148</v>
      </c>
      <c r="C17" s="140">
        <v>0</v>
      </c>
      <c r="D17" s="140">
        <v>0</v>
      </c>
      <c r="E17" s="140">
        <v>0</v>
      </c>
      <c r="F17" s="141">
        <v>0</v>
      </c>
      <c r="G17" s="142"/>
      <c r="H17" s="142"/>
      <c r="I17" s="143"/>
    </row>
    <row r="18" ht="36" customHeight="1" spans="2:9">
      <c r="B18" s="127" t="s">
        <v>140</v>
      </c>
      <c r="C18" s="128" t="s">
        <v>150</v>
      </c>
      <c r="D18" s="129"/>
      <c r="E18" s="129"/>
      <c r="F18" s="130"/>
    </row>
    <row r="19" ht="36.75" spans="2:9">
      <c r="B19" s="133"/>
      <c r="C19" s="134" t="s">
        <v>143</v>
      </c>
      <c r="D19" s="134" t="s">
        <v>144</v>
      </c>
      <c r="E19" s="134" t="s">
        <v>145</v>
      </c>
      <c r="F19" s="135" t="s">
        <v>14</v>
      </c>
    </row>
    <row r="20" ht="15.75" spans="2:9">
      <c r="B20" s="133" t="s">
        <v>146</v>
      </c>
      <c r="C20" s="3">
        <v>117823</v>
      </c>
      <c r="D20" s="138">
        <v>0</v>
      </c>
      <c r="E20" s="138">
        <v>0</v>
      </c>
      <c r="F20" s="1">
        <v>117823</v>
      </c>
    </row>
    <row r="21" ht="15.75" spans="2:9">
      <c r="B21" s="133" t="s">
        <v>147</v>
      </c>
      <c r="C21" s="3">
        <v>117823</v>
      </c>
      <c r="D21" s="138">
        <v>0</v>
      </c>
      <c r="E21" s="138">
        <v>0</v>
      </c>
    </row>
    <row r="22" ht="15.75" spans="2:9">
      <c r="B22" s="139" t="s">
        <v>148</v>
      </c>
      <c r="C22" s="140">
        <v>0</v>
      </c>
      <c r="D22" s="140">
        <v>0</v>
      </c>
      <c r="E22" s="144"/>
      <c r="F22" s="145"/>
    </row>
    <row r="25" ht="15.75"/>
    <row r="26" ht="36" customHeight="1" spans="2:9">
      <c r="B26" s="146" t="s">
        <v>151</v>
      </c>
      <c r="C26" s="129"/>
      <c r="D26" s="129"/>
      <c r="E26" s="147"/>
      <c r="F26" s="148"/>
      <c r="G26" s="131"/>
      <c r="H26" s="131"/>
      <c r="I26" s="132" t="s">
        <v>142</v>
      </c>
    </row>
    <row r="27" ht="36.75" spans="2:9">
      <c r="B27" s="133"/>
      <c r="C27" s="134" t="s">
        <v>143</v>
      </c>
      <c r="D27" s="134" t="s">
        <v>144</v>
      </c>
      <c r="E27" s="134" t="s">
        <v>145</v>
      </c>
      <c r="F27" s="135" t="s">
        <v>14</v>
      </c>
      <c r="G27" s="136"/>
      <c r="H27" s="136"/>
      <c r="I27" s="137"/>
    </row>
    <row r="28" ht="15.75" spans="2:9">
      <c r="B28" s="133" t="s">
        <v>146</v>
      </c>
      <c r="C28" s="3">
        <v>498550</v>
      </c>
      <c r="D28" s="138">
        <v>0</v>
      </c>
      <c r="E28" s="138">
        <v>0</v>
      </c>
      <c r="F28" s="1">
        <v>498550</v>
      </c>
      <c r="G28" s="136"/>
      <c r="H28" s="136"/>
      <c r="I28" s="137"/>
    </row>
    <row r="29" ht="15.75" spans="2:9">
      <c r="B29" s="133" t="s">
        <v>147</v>
      </c>
      <c r="C29" s="3">
        <v>498550</v>
      </c>
      <c r="D29" s="138">
        <v>0</v>
      </c>
      <c r="E29" s="138">
        <v>0</v>
      </c>
      <c r="G29" s="136"/>
      <c r="H29" s="136"/>
      <c r="I29" s="137"/>
    </row>
    <row r="30" ht="15.75" spans="2:9">
      <c r="B30" s="139" t="s">
        <v>148</v>
      </c>
      <c r="C30" s="140">
        <v>0</v>
      </c>
      <c r="D30" s="140">
        <v>0</v>
      </c>
      <c r="E30" s="140">
        <v>0</v>
      </c>
      <c r="F30" s="141">
        <v>0</v>
      </c>
      <c r="G30" s="142"/>
      <c r="H30" s="142"/>
      <c r="I30" s="143"/>
    </row>
    <row r="31" ht="36" customHeight="1" spans="2:9">
      <c r="B31" s="127" t="s">
        <v>140</v>
      </c>
      <c r="C31" s="128" t="s">
        <v>152</v>
      </c>
      <c r="D31" s="129"/>
      <c r="E31" s="129"/>
      <c r="F31" s="130"/>
    </row>
    <row r="32" ht="36.75" spans="2:9">
      <c r="B32" s="133"/>
      <c r="C32" s="134" t="s">
        <v>143</v>
      </c>
      <c r="D32" s="134" t="s">
        <v>144</v>
      </c>
      <c r="E32" s="134" t="s">
        <v>145</v>
      </c>
      <c r="F32" s="135" t="s">
        <v>14</v>
      </c>
    </row>
    <row r="33" ht="15.75" spans="2:6">
      <c r="B33" s="133" t="s">
        <v>146</v>
      </c>
      <c r="C33" s="3">
        <v>35754</v>
      </c>
      <c r="D33" s="138">
        <v>0</v>
      </c>
      <c r="E33" s="138">
        <v>0</v>
      </c>
      <c r="F33" s="1">
        <v>35754</v>
      </c>
    </row>
    <row r="34" ht="15.75" spans="2:6">
      <c r="B34" s="133" t="s">
        <v>147</v>
      </c>
      <c r="C34" s="3">
        <v>35754</v>
      </c>
      <c r="D34" s="138">
        <v>0</v>
      </c>
      <c r="E34" s="138">
        <v>0</v>
      </c>
    </row>
    <row r="35" ht="15.75" spans="2:6">
      <c r="B35" s="139" t="s">
        <v>148</v>
      </c>
      <c r="C35" s="140">
        <v>0</v>
      </c>
      <c r="D35" s="140">
        <v>0</v>
      </c>
      <c r="E35" s="140">
        <v>0</v>
      </c>
      <c r="F35" s="141">
        <v>0</v>
      </c>
    </row>
    <row r="40" ht="15.75"/>
    <row r="41" ht="36" customHeight="1" spans="2:6">
      <c r="B41" s="149" t="s">
        <v>153</v>
      </c>
      <c r="C41" s="150"/>
      <c r="D41" s="150"/>
      <c r="E41" s="151"/>
      <c r="F41" s="152"/>
    </row>
    <row r="42" ht="36.75" spans="2:6">
      <c r="B42" s="134"/>
      <c r="C42" s="134" t="s">
        <v>143</v>
      </c>
      <c r="D42" s="134" t="s">
        <v>144</v>
      </c>
      <c r="E42" s="134" t="s">
        <v>145</v>
      </c>
      <c r="F42" s="134" t="s">
        <v>14</v>
      </c>
    </row>
    <row r="43" ht="15.75" spans="2:6">
      <c r="B43" s="134" t="s">
        <v>146</v>
      </c>
      <c r="C43" s="3">
        <v>867258.7</v>
      </c>
      <c r="D43" s="138">
        <v>0</v>
      </c>
      <c r="E43" s="138">
        <v>0</v>
      </c>
      <c r="F43" s="3">
        <v>867258.7</v>
      </c>
    </row>
    <row r="44" ht="15.75" spans="2:6">
      <c r="B44" s="134" t="s">
        <v>147</v>
      </c>
      <c r="C44" s="3">
        <v>867258.7</v>
      </c>
      <c r="D44" s="138">
        <v>0</v>
      </c>
      <c r="E44" s="138">
        <v>0</v>
      </c>
    </row>
    <row r="47" ht="15.75"/>
    <row r="48" ht="36" customHeight="1" spans="2:6">
      <c r="B48" s="149" t="s">
        <v>154</v>
      </c>
      <c r="C48" s="150"/>
      <c r="D48" s="150"/>
      <c r="E48" s="151"/>
      <c r="F48" s="152"/>
    </row>
    <row r="49" ht="36.75" spans="2:9">
      <c r="B49" s="134"/>
      <c r="C49" s="134" t="s">
        <v>143</v>
      </c>
      <c r="D49" s="134" t="s">
        <v>144</v>
      </c>
      <c r="E49" s="134" t="s">
        <v>145</v>
      </c>
      <c r="F49" s="134" t="s">
        <v>14</v>
      </c>
    </row>
    <row r="50" ht="15.75" spans="2:9">
      <c r="B50" s="134" t="s">
        <v>146</v>
      </c>
      <c r="C50" s="3">
        <v>2386432</v>
      </c>
      <c r="D50" s="138">
        <v>0</v>
      </c>
      <c r="E50" s="138">
        <v>0</v>
      </c>
      <c r="F50" s="3">
        <v>2386432</v>
      </c>
    </row>
    <row r="51" ht="15.75" spans="2:9">
      <c r="B51" s="134" t="s">
        <v>147</v>
      </c>
      <c r="C51" s="3">
        <v>2386432</v>
      </c>
      <c r="D51" s="138">
        <v>0</v>
      </c>
      <c r="E51" s="138">
        <v>0</v>
      </c>
    </row>
    <row r="55" ht="15.75"/>
    <row r="56" ht="36" customHeight="1" spans="2:9">
      <c r="B56" s="146" t="s">
        <v>155</v>
      </c>
      <c r="C56" s="129"/>
      <c r="D56" s="129"/>
      <c r="E56" s="147"/>
      <c r="F56" s="148"/>
      <c r="G56" s="131"/>
      <c r="H56" s="131"/>
      <c r="I56" s="132" t="s">
        <v>142</v>
      </c>
    </row>
    <row r="57" ht="36.75" spans="2:9">
      <c r="B57" s="133"/>
      <c r="C57" s="134" t="s">
        <v>143</v>
      </c>
      <c r="D57" s="134" t="s">
        <v>144</v>
      </c>
      <c r="E57" s="134" t="s">
        <v>145</v>
      </c>
      <c r="F57" s="135" t="s">
        <v>14</v>
      </c>
      <c r="G57" s="136"/>
      <c r="H57" s="136"/>
      <c r="I57" s="137"/>
    </row>
    <row r="58" ht="15.75" spans="2:9">
      <c r="B58" s="133" t="s">
        <v>146</v>
      </c>
      <c r="C58" s="3">
        <v>454756.11</v>
      </c>
      <c r="D58" s="138">
        <v>0</v>
      </c>
      <c r="E58" s="138">
        <v>0</v>
      </c>
      <c r="F58" s="1">
        <v>454756.11</v>
      </c>
      <c r="G58" s="136"/>
      <c r="H58" s="136"/>
      <c r="I58" s="137"/>
    </row>
    <row r="59" ht="15.75" spans="2:9">
      <c r="B59" s="133" t="s">
        <v>147</v>
      </c>
      <c r="C59" s="3">
        <v>454756.11</v>
      </c>
      <c r="D59" s="138">
        <v>0</v>
      </c>
      <c r="E59" s="138">
        <v>0</v>
      </c>
      <c r="G59" s="136"/>
      <c r="H59" s="136"/>
      <c r="I59" s="137"/>
    </row>
    <row r="60" ht="15.75" spans="2:9">
      <c r="B60" s="139" t="s">
        <v>148</v>
      </c>
      <c r="C60" s="140">
        <v>0</v>
      </c>
      <c r="D60" s="140">
        <v>0</v>
      </c>
      <c r="E60" s="140">
        <v>0</v>
      </c>
      <c r="F60" s="141">
        <v>0</v>
      </c>
      <c r="G60" s="142"/>
      <c r="H60" s="142"/>
      <c r="I60" s="143"/>
    </row>
    <row r="61" ht="36" customHeight="1" spans="2:9">
      <c r="B61" s="127" t="s">
        <v>140</v>
      </c>
      <c r="C61" s="128" t="s">
        <v>156</v>
      </c>
      <c r="D61" s="129"/>
      <c r="E61" s="129"/>
      <c r="F61" s="130"/>
    </row>
    <row r="62" ht="36.75" spans="2:9">
      <c r="B62" s="133"/>
      <c r="C62" s="134" t="s">
        <v>143</v>
      </c>
      <c r="D62" s="134" t="s">
        <v>144</v>
      </c>
      <c r="E62" s="134" t="s">
        <v>145</v>
      </c>
      <c r="F62" s="135" t="s">
        <v>14</v>
      </c>
    </row>
    <row r="63" ht="15.75" spans="2:9">
      <c r="B63" s="133" t="s">
        <v>146</v>
      </c>
      <c r="C63" s="3">
        <v>5270379.69</v>
      </c>
      <c r="D63" s="138">
        <v>0</v>
      </c>
      <c r="E63" s="138">
        <v>0</v>
      </c>
    </row>
    <row r="64" ht="15.75" spans="2:9">
      <c r="B64" s="139" t="s">
        <v>147</v>
      </c>
      <c r="C64" s="153">
        <v>5270379.69</v>
      </c>
      <c r="D64" s="140">
        <v>0</v>
      </c>
      <c r="E64" s="140">
        <v>0</v>
      </c>
      <c r="F64" s="154">
        <v>5270379.69</v>
      </c>
    </row>
    <row r="68" ht="15.75"/>
    <row r="69" ht="36" customHeight="1" spans="2:9">
      <c r="B69" s="146" t="s">
        <v>157</v>
      </c>
      <c r="C69" s="129"/>
      <c r="D69" s="129"/>
      <c r="E69" s="147"/>
      <c r="F69" s="148"/>
      <c r="G69" s="131"/>
      <c r="H69" s="131"/>
      <c r="I69" s="132" t="s">
        <v>142</v>
      </c>
    </row>
    <row r="70" ht="36.75" spans="2:9">
      <c r="B70" s="133"/>
      <c r="C70" s="134" t="s">
        <v>143</v>
      </c>
      <c r="D70" s="134" t="s">
        <v>144</v>
      </c>
      <c r="E70" s="134" t="s">
        <v>145</v>
      </c>
      <c r="F70" s="135" t="s">
        <v>14</v>
      </c>
      <c r="G70" s="136"/>
      <c r="H70" s="136"/>
      <c r="I70" s="137"/>
    </row>
    <row r="71" ht="15.75" spans="2:9">
      <c r="B71" s="133" t="s">
        <v>146</v>
      </c>
      <c r="C71" s="3">
        <v>580635</v>
      </c>
      <c r="D71" s="138">
        <v>0</v>
      </c>
      <c r="E71" s="138">
        <v>0</v>
      </c>
      <c r="F71" s="1">
        <v>580635</v>
      </c>
      <c r="G71" s="136"/>
      <c r="H71" s="136"/>
      <c r="I71" s="137"/>
    </row>
    <row r="72" ht="15.75" spans="2:9">
      <c r="B72" s="133" t="s">
        <v>147</v>
      </c>
      <c r="C72" s="3">
        <v>580635</v>
      </c>
      <c r="D72" s="138">
        <v>0</v>
      </c>
      <c r="E72" s="138">
        <v>0</v>
      </c>
      <c r="G72" s="136"/>
      <c r="H72" s="136"/>
      <c r="I72" s="137"/>
    </row>
    <row r="73" ht="15.75" spans="2:9">
      <c r="B73" s="139" t="s">
        <v>148</v>
      </c>
      <c r="C73" s="140">
        <v>0</v>
      </c>
      <c r="D73" s="140">
        <v>0</v>
      </c>
      <c r="E73" s="140">
        <v>0</v>
      </c>
      <c r="F73" s="141">
        <v>0</v>
      </c>
      <c r="G73" s="155"/>
      <c r="H73" s="155"/>
      <c r="I73" s="156"/>
    </row>
    <row r="74" ht="15.75" spans="2:9">
      <c r="B74" s="157"/>
      <c r="C74" s="158"/>
      <c r="D74" s="158"/>
      <c r="E74" s="158"/>
      <c r="F74" s="159"/>
      <c r="G74" s="160"/>
      <c r="H74" s="160"/>
      <c r="I74" s="160"/>
    </row>
    <row r="77" ht="15.75"/>
    <row r="78" ht="36" customHeight="1" spans="2:9">
      <c r="B78" s="149" t="s">
        <v>158</v>
      </c>
      <c r="C78" s="150"/>
      <c r="D78" s="150"/>
      <c r="E78" s="151"/>
      <c r="F78" s="152"/>
    </row>
    <row r="79" ht="36.75" spans="2:9">
      <c r="B79" s="134"/>
      <c r="C79" s="134" t="s">
        <v>143</v>
      </c>
      <c r="D79" s="134" t="s">
        <v>144</v>
      </c>
      <c r="E79" s="134" t="s">
        <v>145</v>
      </c>
      <c r="F79" s="134" t="s">
        <v>14</v>
      </c>
    </row>
    <row r="80" ht="15.75" spans="2:9">
      <c r="B80" s="134" t="s">
        <v>146</v>
      </c>
      <c r="C80" s="3">
        <v>248000.09</v>
      </c>
      <c r="D80" s="138">
        <v>0</v>
      </c>
      <c r="E80" s="138">
        <v>0</v>
      </c>
      <c r="F80" s="3">
        <v>248000.09</v>
      </c>
    </row>
    <row r="81" ht="15.75" spans="2:6">
      <c r="B81" s="134" t="s">
        <v>147</v>
      </c>
      <c r="C81" s="3">
        <v>248000.09</v>
      </c>
      <c r="D81" s="138">
        <v>0</v>
      </c>
      <c r="E81" s="138">
        <v>0</v>
      </c>
    </row>
    <row r="85" ht="15.75"/>
    <row r="86" ht="36" customHeight="1" spans="2:6">
      <c r="B86" s="149" t="s">
        <v>159</v>
      </c>
      <c r="C86" s="150"/>
      <c r="D86" s="150"/>
      <c r="E86" s="151"/>
      <c r="F86" s="152"/>
    </row>
    <row r="87" ht="36.75" spans="2:6">
      <c r="B87" s="134"/>
      <c r="C87" s="134" t="s">
        <v>143</v>
      </c>
      <c r="D87" s="134" t="s">
        <v>144</v>
      </c>
      <c r="E87" s="134" t="s">
        <v>145</v>
      </c>
      <c r="F87" s="134" t="s">
        <v>14</v>
      </c>
    </row>
    <row r="88" ht="15.75" spans="2:6">
      <c r="B88" s="134" t="s">
        <v>146</v>
      </c>
      <c r="C88" s="3">
        <v>118397.42</v>
      </c>
      <c r="D88" s="138">
        <v>0</v>
      </c>
      <c r="E88" s="138">
        <v>0</v>
      </c>
    </row>
    <row r="89" ht="15.75" spans="2:6">
      <c r="B89" s="134" t="s">
        <v>147</v>
      </c>
      <c r="C89" s="3">
        <v>118397.42</v>
      </c>
      <c r="D89" s="138">
        <v>0</v>
      </c>
      <c r="E89" s="138">
        <v>0</v>
      </c>
      <c r="F89" s="3">
        <v>118397.42</v>
      </c>
    </row>
    <row r="92" ht="15.75"/>
    <row r="93" ht="36" customHeight="1" spans="2:6">
      <c r="B93" s="149" t="s">
        <v>160</v>
      </c>
      <c r="C93" s="150"/>
      <c r="D93" s="150"/>
      <c r="E93" s="151"/>
      <c r="F93" s="152"/>
    </row>
    <row r="94" ht="36.75" spans="2:6">
      <c r="B94" s="134"/>
      <c r="C94" s="134" t="s">
        <v>143</v>
      </c>
      <c r="D94" s="134" t="s">
        <v>144</v>
      </c>
      <c r="E94" s="134" t="s">
        <v>145</v>
      </c>
      <c r="F94" s="134" t="s">
        <v>14</v>
      </c>
    </row>
    <row r="95" ht="15.75" spans="2:6">
      <c r="B95" s="134" t="s">
        <v>146</v>
      </c>
      <c r="C95" s="3">
        <v>180000</v>
      </c>
      <c r="D95" s="138">
        <v>0</v>
      </c>
      <c r="E95" s="138">
        <v>0</v>
      </c>
      <c r="F95" s="3">
        <v>180000</v>
      </c>
    </row>
    <row r="96" ht="15.75" spans="2:6">
      <c r="B96" s="134" t="s">
        <v>147</v>
      </c>
      <c r="C96" s="3">
        <v>180000</v>
      </c>
      <c r="D96" s="138">
        <v>0</v>
      </c>
      <c r="E96" s="138">
        <v>0</v>
      </c>
    </row>
    <row r="98" ht="15.75"/>
    <row r="99" ht="36" customHeight="1" spans="2:6">
      <c r="B99" s="149" t="s">
        <v>161</v>
      </c>
      <c r="C99" s="150"/>
      <c r="D99" s="150"/>
      <c r="E99" s="151"/>
      <c r="F99" s="152"/>
    </row>
    <row r="100" ht="36.75" spans="2:6">
      <c r="B100" s="134"/>
      <c r="C100" s="134" t="s">
        <v>143</v>
      </c>
      <c r="D100" s="134" t="s">
        <v>144</v>
      </c>
      <c r="E100" s="134" t="s">
        <v>145</v>
      </c>
      <c r="F100" s="134" t="s">
        <v>14</v>
      </c>
    </row>
    <row r="101" ht="15.75" spans="2:6">
      <c r="B101" s="134" t="s">
        <v>146</v>
      </c>
      <c r="C101" s="3">
        <v>1299941.3</v>
      </c>
      <c r="D101" s="138">
        <v>0</v>
      </c>
      <c r="E101" s="138">
        <v>0</v>
      </c>
      <c r="F101" s="3">
        <v>1299941.3</v>
      </c>
    </row>
    <row r="102" ht="15.75" spans="2:6">
      <c r="B102" s="134" t="s">
        <v>147</v>
      </c>
      <c r="C102" s="3">
        <v>1299941.3</v>
      </c>
      <c r="D102" s="138">
        <v>0</v>
      </c>
      <c r="E102" s="138">
        <v>0</v>
      </c>
    </row>
    <row r="104" ht="15.75"/>
    <row r="105" ht="36" customHeight="1" spans="2:6">
      <c r="B105" s="149" t="s">
        <v>141</v>
      </c>
      <c r="C105" s="150"/>
      <c r="D105" s="150"/>
      <c r="E105" s="151"/>
      <c r="F105" s="152"/>
    </row>
    <row r="106" ht="36.75" spans="2:6">
      <c r="B106" s="134"/>
      <c r="C106" s="134" t="s">
        <v>143</v>
      </c>
      <c r="D106" s="134" t="s">
        <v>144</v>
      </c>
      <c r="E106" s="134" t="s">
        <v>145</v>
      </c>
      <c r="F106" s="134" t="s">
        <v>14</v>
      </c>
    </row>
    <row r="107" ht="15.75" spans="2:6">
      <c r="B107" s="134" t="s">
        <v>146</v>
      </c>
      <c r="C107" s="3">
        <v>702268.03</v>
      </c>
      <c r="D107" s="138">
        <v>0</v>
      </c>
      <c r="E107" s="138">
        <v>0</v>
      </c>
      <c r="F107" s="3">
        <v>702268.03</v>
      </c>
    </row>
    <row r="108" ht="15.75" spans="2:6">
      <c r="B108" s="134" t="s">
        <v>147</v>
      </c>
      <c r="C108" s="3">
        <v>702268.03</v>
      </c>
      <c r="D108" s="138">
        <v>0</v>
      </c>
      <c r="E108" s="138">
        <v>0</v>
      </c>
    </row>
    <row r="110" ht="15.75"/>
    <row r="111" ht="36" customHeight="1" spans="2:6">
      <c r="B111" s="149" t="s">
        <v>162</v>
      </c>
      <c r="C111" s="150"/>
      <c r="D111" s="150"/>
      <c r="E111" s="151"/>
      <c r="F111" s="152"/>
    </row>
    <row r="112" ht="36.75" spans="2:6">
      <c r="B112" s="134"/>
      <c r="C112" s="134" t="s">
        <v>143</v>
      </c>
      <c r="D112" s="134" t="s">
        <v>144</v>
      </c>
      <c r="E112" s="134" t="s">
        <v>145</v>
      </c>
      <c r="F112" s="134" t="s">
        <v>14</v>
      </c>
    </row>
    <row r="113" ht="15.75" spans="2:7">
      <c r="B113" s="134" t="s">
        <v>146</v>
      </c>
      <c r="C113" s="3">
        <v>17539.57</v>
      </c>
      <c r="D113" s="138">
        <v>0</v>
      </c>
      <c r="E113" s="138">
        <v>0</v>
      </c>
      <c r="F113" s="3">
        <v>17539.57</v>
      </c>
    </row>
    <row r="114" ht="15.75" spans="2:7">
      <c r="B114" s="134" t="s">
        <v>147</v>
      </c>
      <c r="C114" s="3">
        <v>17539.57</v>
      </c>
      <c r="D114" s="138">
        <v>0</v>
      </c>
      <c r="E114" s="138">
        <v>0</v>
      </c>
    </row>
    <row r="117" ht="15.75"/>
    <row r="118" ht="36" customHeight="1" spans="2:7">
      <c r="B118" s="146" t="s">
        <v>163</v>
      </c>
      <c r="C118" s="129"/>
      <c r="D118" s="129"/>
      <c r="E118" s="147"/>
      <c r="F118" s="148"/>
      <c r="G118" s="132"/>
    </row>
    <row r="119" ht="36.75" spans="2:7">
      <c r="B119" s="133"/>
      <c r="C119" s="134" t="s">
        <v>143</v>
      </c>
      <c r="D119" s="134" t="s">
        <v>144</v>
      </c>
      <c r="E119" s="134" t="s">
        <v>145</v>
      </c>
      <c r="F119" s="135" t="s">
        <v>14</v>
      </c>
      <c r="G119" s="137"/>
    </row>
    <row r="120" ht="15.75" spans="2:7">
      <c r="B120" s="133" t="s">
        <v>146</v>
      </c>
      <c r="C120" s="3">
        <v>18370</v>
      </c>
      <c r="D120" s="138">
        <v>0</v>
      </c>
      <c r="E120" s="138">
        <v>0</v>
      </c>
      <c r="F120" s="1">
        <v>18370</v>
      </c>
      <c r="G120" s="137"/>
    </row>
    <row r="121" ht="15.75" spans="2:7">
      <c r="B121" s="133" t="s">
        <v>147</v>
      </c>
      <c r="C121" s="3">
        <v>18370</v>
      </c>
      <c r="D121" s="138">
        <v>0</v>
      </c>
      <c r="E121" s="138">
        <v>0</v>
      </c>
      <c r="G121" s="137"/>
    </row>
    <row r="122" ht="15.75" spans="2:7">
      <c r="B122" s="139" t="s">
        <v>148</v>
      </c>
      <c r="C122" s="140">
        <v>0</v>
      </c>
      <c r="D122" s="140">
        <v>0</v>
      </c>
      <c r="E122" s="140">
        <v>0</v>
      </c>
      <c r="F122" s="141">
        <v>0</v>
      </c>
      <c r="G122" s="143"/>
    </row>
    <row r="125" ht="15.75"/>
    <row r="126" ht="36" customHeight="1" spans="2:7">
      <c r="B126" s="149" t="s">
        <v>164</v>
      </c>
      <c r="C126" s="150"/>
      <c r="D126" s="150"/>
      <c r="E126" s="151"/>
      <c r="F126" s="152"/>
    </row>
    <row r="127" ht="36.75" spans="2:7">
      <c r="B127" s="134"/>
      <c r="C127" s="134" t="s">
        <v>143</v>
      </c>
      <c r="D127" s="134" t="s">
        <v>144</v>
      </c>
      <c r="E127" s="134" t="s">
        <v>145</v>
      </c>
      <c r="F127" s="134" t="s">
        <v>14</v>
      </c>
    </row>
    <row r="128" ht="15.75" spans="2:7">
      <c r="B128" s="134" t="s">
        <v>146</v>
      </c>
      <c r="C128" s="3">
        <v>180000</v>
      </c>
      <c r="D128" s="138">
        <v>0</v>
      </c>
      <c r="E128" s="138">
        <v>0</v>
      </c>
    </row>
    <row r="129" ht="15.75" spans="2:6">
      <c r="B129" s="134" t="s">
        <v>147</v>
      </c>
      <c r="C129" s="3">
        <v>180000</v>
      </c>
      <c r="D129" s="138">
        <v>0</v>
      </c>
      <c r="E129" s="138">
        <v>0</v>
      </c>
      <c r="F129" s="3">
        <v>180000</v>
      </c>
    </row>
    <row r="132" ht="15.75"/>
    <row r="133" ht="36" customHeight="1" spans="2:6">
      <c r="B133" s="149" t="s">
        <v>161</v>
      </c>
      <c r="C133" s="150"/>
      <c r="D133" s="150"/>
      <c r="E133" s="151"/>
      <c r="F133" s="152"/>
    </row>
    <row r="134" ht="36.75" spans="2:6">
      <c r="B134" s="134"/>
      <c r="C134" s="134" t="s">
        <v>143</v>
      </c>
      <c r="D134" s="134" t="s">
        <v>144</v>
      </c>
      <c r="E134" s="134" t="s">
        <v>145</v>
      </c>
      <c r="F134" s="134" t="s">
        <v>14</v>
      </c>
    </row>
    <row r="135" ht="15.75" spans="2:6">
      <c r="B135" s="134" t="s">
        <v>146</v>
      </c>
      <c r="C135" s="3">
        <v>23100</v>
      </c>
      <c r="D135" s="138">
        <v>0</v>
      </c>
      <c r="E135" s="138">
        <v>0</v>
      </c>
      <c r="F135" s="3">
        <v>23100</v>
      </c>
    </row>
    <row r="136" ht="15.75" spans="2:6">
      <c r="B136" s="134" t="s">
        <v>147</v>
      </c>
      <c r="C136" s="3">
        <v>23100</v>
      </c>
      <c r="D136" s="138">
        <v>0</v>
      </c>
      <c r="E136" s="138">
        <v>0</v>
      </c>
    </row>
    <row r="139" ht="15.75"/>
    <row r="140" ht="36" customHeight="1" spans="2:6">
      <c r="B140" s="149" t="s">
        <v>165</v>
      </c>
      <c r="C140" s="150"/>
      <c r="D140" s="150"/>
      <c r="E140" s="151"/>
      <c r="F140" s="152"/>
    </row>
    <row r="141" ht="36.75" spans="2:6">
      <c r="B141" s="134"/>
      <c r="C141" s="134" t="s">
        <v>143</v>
      </c>
      <c r="D141" s="134" t="s">
        <v>144</v>
      </c>
      <c r="E141" s="134" t="s">
        <v>145</v>
      </c>
      <c r="F141" s="134" t="s">
        <v>14</v>
      </c>
    </row>
    <row r="142" ht="15.75" spans="2:6">
      <c r="B142" s="134" t="s">
        <v>146</v>
      </c>
      <c r="C142" s="3">
        <v>61478</v>
      </c>
      <c r="D142" s="138">
        <v>0</v>
      </c>
      <c r="E142" s="138">
        <v>0</v>
      </c>
    </row>
    <row r="143" ht="15.75" spans="2:6">
      <c r="B143" s="134" t="s">
        <v>147</v>
      </c>
      <c r="C143" s="3">
        <v>61478</v>
      </c>
      <c r="D143" s="138">
        <v>0</v>
      </c>
      <c r="E143" s="138">
        <v>0</v>
      </c>
      <c r="F143" s="3">
        <v>61478</v>
      </c>
    </row>
    <row r="145" ht="15.75"/>
    <row r="146" ht="36" customHeight="1" spans="2:7">
      <c r="B146" s="146" t="s">
        <v>166</v>
      </c>
      <c r="C146" s="129"/>
      <c r="D146" s="129"/>
      <c r="E146" s="147"/>
      <c r="F146" s="148"/>
      <c r="G146" s="132"/>
    </row>
    <row r="147" ht="36.75" spans="2:7">
      <c r="B147" s="133"/>
      <c r="C147" s="134" t="s">
        <v>143</v>
      </c>
      <c r="D147" s="134" t="s">
        <v>144</v>
      </c>
      <c r="E147" s="134" t="s">
        <v>145</v>
      </c>
      <c r="F147" s="135" t="s">
        <v>14</v>
      </c>
      <c r="G147" s="137"/>
    </row>
    <row r="148" ht="15.75" spans="2:7">
      <c r="B148" s="133" t="s">
        <v>146</v>
      </c>
      <c r="C148" s="3">
        <v>380432.94</v>
      </c>
      <c r="D148" s="138">
        <v>0</v>
      </c>
      <c r="E148" s="138">
        <v>0</v>
      </c>
      <c r="F148" s="1">
        <v>380432.94</v>
      </c>
      <c r="G148" s="137"/>
    </row>
    <row r="149" ht="15.75" spans="2:7">
      <c r="B149" s="133" t="s">
        <v>147</v>
      </c>
      <c r="C149" s="3">
        <v>380432.94</v>
      </c>
      <c r="D149" s="138">
        <v>0</v>
      </c>
      <c r="E149" s="138">
        <v>0</v>
      </c>
      <c r="G149" s="137"/>
    </row>
    <row r="150" ht="15.75" spans="2:7">
      <c r="B150" s="139" t="s">
        <v>148</v>
      </c>
      <c r="C150" s="140">
        <v>0</v>
      </c>
      <c r="D150" s="140">
        <v>0</v>
      </c>
      <c r="E150" s="140">
        <v>0</v>
      </c>
      <c r="F150" s="141">
        <v>0</v>
      </c>
      <c r="G150" s="143"/>
    </row>
    <row r="155" ht="15.75" spans="2:7">
      <c r="B155" s="152"/>
      <c r="C155" s="152"/>
      <c r="D155" s="152"/>
      <c r="E155" s="152"/>
      <c r="F155" s="152"/>
    </row>
    <row r="156" ht="36" customHeight="1" spans="2:7">
      <c r="B156" s="149" t="s">
        <v>167</v>
      </c>
      <c r="C156" s="150"/>
      <c r="D156" s="150"/>
      <c r="E156" s="151"/>
      <c r="F156" s="152"/>
    </row>
    <row r="157" ht="36.75" spans="2:7">
      <c r="B157" s="134"/>
      <c r="C157" s="134" t="s">
        <v>143</v>
      </c>
      <c r="D157" s="134" t="s">
        <v>144</v>
      </c>
      <c r="E157" s="134" t="s">
        <v>145</v>
      </c>
      <c r="F157" s="134" t="s">
        <v>14</v>
      </c>
    </row>
    <row r="158" ht="15.75" spans="2:7">
      <c r="B158" s="134" t="s">
        <v>146</v>
      </c>
      <c r="C158" s="3">
        <v>1383560.15</v>
      </c>
      <c r="D158" s="138">
        <v>0</v>
      </c>
      <c r="E158" s="138">
        <v>0</v>
      </c>
      <c r="F158" s="3">
        <v>1383560.15</v>
      </c>
    </row>
    <row r="159" ht="15.75" spans="2:7">
      <c r="B159" s="134" t="s">
        <v>147</v>
      </c>
      <c r="C159" s="3">
        <v>1383560.15</v>
      </c>
      <c r="D159" s="138">
        <v>0</v>
      </c>
      <c r="E159" s="138">
        <v>0</v>
      </c>
    </row>
    <row r="160" ht="15.75" spans="2:7">
      <c r="B160" s="134" t="s">
        <v>148</v>
      </c>
      <c r="C160" s="138">
        <v>0</v>
      </c>
      <c r="D160" s="138">
        <v>0</v>
      </c>
      <c r="E160" s="138">
        <v>0</v>
      </c>
      <c r="F160" s="138"/>
    </row>
    <row r="164" ht="15.75"/>
    <row r="165" ht="36" customHeight="1" spans="2:7">
      <c r="B165" s="146" t="s">
        <v>168</v>
      </c>
      <c r="C165" s="129"/>
      <c r="D165" s="129"/>
      <c r="E165" s="147"/>
      <c r="F165" s="148"/>
      <c r="G165" s="132"/>
    </row>
    <row r="166" ht="36.75" spans="2:7">
      <c r="B166" s="133"/>
      <c r="C166" s="134" t="s">
        <v>143</v>
      </c>
      <c r="D166" s="134" t="s">
        <v>144</v>
      </c>
      <c r="E166" s="134" t="s">
        <v>145</v>
      </c>
      <c r="F166" s="135" t="s">
        <v>14</v>
      </c>
      <c r="G166" s="137"/>
    </row>
    <row r="167" ht="15.75" spans="2:7">
      <c r="B167" s="133" t="s">
        <v>146</v>
      </c>
      <c r="C167" s="3">
        <v>143582.4</v>
      </c>
      <c r="D167" s="138">
        <v>0</v>
      </c>
      <c r="E167" s="138">
        <v>0</v>
      </c>
      <c r="F167" s="1">
        <v>143582.4</v>
      </c>
      <c r="G167" s="137"/>
    </row>
    <row r="168" ht="15.75" spans="2:7">
      <c r="B168" s="133" t="s">
        <v>147</v>
      </c>
      <c r="C168" s="3">
        <v>143582.4</v>
      </c>
      <c r="D168" s="138">
        <v>0</v>
      </c>
      <c r="E168" s="138">
        <v>0</v>
      </c>
      <c r="G168" s="137"/>
    </row>
    <row r="169" ht="15.75" spans="2:7">
      <c r="B169" s="139" t="s">
        <v>148</v>
      </c>
      <c r="C169" s="140">
        <v>0</v>
      </c>
      <c r="D169" s="140">
        <v>0</v>
      </c>
      <c r="E169" s="140">
        <v>0</v>
      </c>
      <c r="F169" s="141">
        <v>0</v>
      </c>
      <c r="G169" s="143"/>
    </row>
    <row r="172" ht="15.75"/>
    <row r="173" ht="36" customHeight="1" spans="2:7">
      <c r="B173" s="149" t="s">
        <v>150</v>
      </c>
      <c r="C173" s="150"/>
      <c r="D173" s="150"/>
      <c r="E173" s="151"/>
      <c r="F173" s="152"/>
    </row>
    <row r="174" ht="36.75" spans="2:7">
      <c r="B174" s="134"/>
      <c r="C174" s="134" t="s">
        <v>143</v>
      </c>
      <c r="D174" s="134" t="s">
        <v>144</v>
      </c>
      <c r="E174" s="134" t="s">
        <v>145</v>
      </c>
      <c r="F174" s="134" t="s">
        <v>14</v>
      </c>
    </row>
    <row r="175" ht="15.75" spans="2:7">
      <c r="B175" s="134" t="s">
        <v>146</v>
      </c>
      <c r="C175" s="3">
        <v>243080</v>
      </c>
      <c r="D175" s="138">
        <v>0</v>
      </c>
      <c r="E175" s="138">
        <v>0</v>
      </c>
      <c r="F175" s="3">
        <v>243080</v>
      </c>
    </row>
    <row r="176" ht="15.75" spans="2:7">
      <c r="B176" s="134" t="s">
        <v>147</v>
      </c>
      <c r="C176" s="3">
        <v>243080</v>
      </c>
      <c r="D176" s="138">
        <v>0</v>
      </c>
      <c r="E176" s="138">
        <v>0</v>
      </c>
    </row>
    <row r="179" ht="15.75"/>
    <row r="180" ht="36" customHeight="1" spans="2:7">
      <c r="B180" s="146" t="s">
        <v>169</v>
      </c>
      <c r="C180" s="129"/>
      <c r="D180" s="129"/>
      <c r="E180" s="147"/>
      <c r="F180" s="148"/>
      <c r="G180" s="132"/>
    </row>
    <row r="181" ht="36.75" spans="2:7">
      <c r="B181" s="133"/>
      <c r="C181" s="134" t="s">
        <v>143</v>
      </c>
      <c r="D181" s="134" t="s">
        <v>144</v>
      </c>
      <c r="E181" s="134" t="s">
        <v>145</v>
      </c>
      <c r="F181" s="135" t="s">
        <v>14</v>
      </c>
      <c r="G181" s="137"/>
    </row>
    <row r="182" ht="15.75" spans="2:7">
      <c r="B182" s="133" t="s">
        <v>146</v>
      </c>
      <c r="C182" s="3">
        <v>204066.85</v>
      </c>
      <c r="D182" s="138">
        <v>0</v>
      </c>
      <c r="E182" s="138">
        <v>0</v>
      </c>
      <c r="F182" s="1">
        <v>204066.85</v>
      </c>
      <c r="G182" s="137"/>
    </row>
    <row r="183" ht="15.75" spans="2:7">
      <c r="B183" s="133" t="s">
        <v>147</v>
      </c>
      <c r="C183" s="3">
        <v>204066.85</v>
      </c>
      <c r="D183" s="138">
        <v>0</v>
      </c>
      <c r="E183" s="138">
        <v>0</v>
      </c>
      <c r="G183" s="137"/>
    </row>
    <row r="184" ht="15.75" spans="2:7">
      <c r="B184" s="139" t="s">
        <v>148</v>
      </c>
      <c r="C184" s="140">
        <v>0</v>
      </c>
      <c r="D184" s="140">
        <v>0</v>
      </c>
      <c r="E184" s="140">
        <v>0</v>
      </c>
      <c r="F184" s="141">
        <v>0</v>
      </c>
      <c r="G184" s="143"/>
    </row>
    <row r="186" ht="15.75"/>
    <row r="187" ht="36" customHeight="1" spans="2:7">
      <c r="B187" s="149" t="s">
        <v>170</v>
      </c>
      <c r="C187" s="150"/>
      <c r="D187" s="150"/>
      <c r="E187" s="151"/>
      <c r="F187" s="152"/>
    </row>
    <row r="188" ht="36.75" spans="2:7">
      <c r="B188" s="134"/>
      <c r="C188" s="134" t="s">
        <v>143</v>
      </c>
      <c r="D188" s="134" t="s">
        <v>144</v>
      </c>
      <c r="E188" s="134" t="s">
        <v>145</v>
      </c>
      <c r="F188" s="134" t="s">
        <v>14</v>
      </c>
    </row>
    <row r="189" ht="15.75" spans="2:7">
      <c r="B189" s="134" t="s">
        <v>146</v>
      </c>
      <c r="C189" s="3">
        <v>91332</v>
      </c>
      <c r="D189" s="138">
        <v>0</v>
      </c>
      <c r="E189" s="138">
        <v>0</v>
      </c>
      <c r="F189" s="3">
        <v>91332</v>
      </c>
    </row>
    <row r="190" ht="15.75" spans="2:7">
      <c r="B190" s="134" t="s">
        <v>147</v>
      </c>
      <c r="C190" s="3">
        <v>91332</v>
      </c>
      <c r="D190" s="138">
        <v>0</v>
      </c>
      <c r="E190" s="138">
        <v>0</v>
      </c>
    </row>
    <row r="193" ht="15.75"/>
    <row r="194" ht="36" customHeight="1" spans="2:6">
      <c r="B194" s="149" t="s">
        <v>171</v>
      </c>
      <c r="C194" s="150"/>
      <c r="D194" s="150"/>
      <c r="E194" s="151"/>
      <c r="F194" s="152"/>
    </row>
    <row r="195" ht="36.75" spans="2:6">
      <c r="B195" s="134"/>
      <c r="C195" s="134" t="s">
        <v>143</v>
      </c>
      <c r="D195" s="134" t="s">
        <v>144</v>
      </c>
      <c r="E195" s="134" t="s">
        <v>145</v>
      </c>
      <c r="F195" s="134" t="s">
        <v>14</v>
      </c>
    </row>
    <row r="196" ht="15.75" spans="2:6">
      <c r="B196" s="134" t="s">
        <v>146</v>
      </c>
      <c r="C196" s="3">
        <v>239989</v>
      </c>
      <c r="D196" s="138">
        <v>0</v>
      </c>
      <c r="E196" s="138">
        <v>0</v>
      </c>
      <c r="F196" s="3">
        <v>239989</v>
      </c>
    </row>
    <row r="197" ht="15.75" spans="2:6">
      <c r="B197" s="134" t="s">
        <v>147</v>
      </c>
      <c r="C197" s="3">
        <v>239989</v>
      </c>
      <c r="D197" s="138">
        <v>0</v>
      </c>
      <c r="E197" s="138">
        <v>0</v>
      </c>
    </row>
    <row r="200" ht="15.75"/>
    <row r="201" ht="36" customHeight="1" spans="2:6">
      <c r="B201" s="149" t="s">
        <v>162</v>
      </c>
      <c r="C201" s="150"/>
      <c r="D201" s="150"/>
      <c r="E201" s="151"/>
      <c r="F201" s="152"/>
    </row>
    <row r="202" ht="36.75" spans="2:6">
      <c r="B202" s="134"/>
      <c r="C202" s="134" t="s">
        <v>143</v>
      </c>
      <c r="D202" s="134" t="s">
        <v>144</v>
      </c>
      <c r="E202" s="134" t="s">
        <v>145</v>
      </c>
      <c r="F202" s="134" t="s">
        <v>14</v>
      </c>
    </row>
    <row r="203" ht="15.75" spans="2:6">
      <c r="B203" s="134" t="s">
        <v>146</v>
      </c>
      <c r="C203" s="3">
        <v>47300.28</v>
      </c>
      <c r="D203" s="138">
        <v>0</v>
      </c>
      <c r="E203" s="138">
        <v>0</v>
      </c>
      <c r="F203" s="3">
        <v>47300.28</v>
      </c>
    </row>
    <row r="204" ht="15.75" spans="2:6">
      <c r="B204" s="134" t="s">
        <v>147</v>
      </c>
      <c r="C204" s="3">
        <v>47300.28</v>
      </c>
      <c r="D204" s="138">
        <v>0</v>
      </c>
      <c r="E204" s="138">
        <v>0</v>
      </c>
    </row>
    <row r="206" ht="15.75"/>
    <row r="207" ht="36" customHeight="1" spans="2:6">
      <c r="B207" s="149" t="s">
        <v>172</v>
      </c>
      <c r="C207" s="150"/>
      <c r="D207" s="150"/>
      <c r="E207" s="151"/>
      <c r="F207" s="152"/>
    </row>
    <row r="208" ht="36.75" spans="2:6">
      <c r="B208" s="134"/>
      <c r="C208" s="134" t="s">
        <v>143</v>
      </c>
      <c r="D208" s="134" t="s">
        <v>144</v>
      </c>
      <c r="E208" s="134" t="s">
        <v>145</v>
      </c>
      <c r="F208" s="134" t="s">
        <v>14</v>
      </c>
    </row>
    <row r="209" ht="15.75" spans="2:6">
      <c r="B209" s="134" t="s">
        <v>146</v>
      </c>
      <c r="C209" s="3">
        <v>229982</v>
      </c>
      <c r="D209" s="138">
        <v>0</v>
      </c>
      <c r="E209" s="138">
        <v>0</v>
      </c>
      <c r="F209" s="3">
        <v>229982</v>
      </c>
    </row>
    <row r="210" ht="15.75" spans="2:6">
      <c r="B210" s="134" t="s">
        <v>147</v>
      </c>
      <c r="C210" s="3">
        <v>229982</v>
      </c>
      <c r="D210" s="138">
        <v>0</v>
      </c>
      <c r="E210" s="138">
        <v>0</v>
      </c>
    </row>
    <row r="212" ht="15.75"/>
    <row r="213" ht="36" customHeight="1" spans="2:6">
      <c r="B213" s="149" t="s">
        <v>156</v>
      </c>
      <c r="C213" s="150"/>
      <c r="D213" s="150"/>
      <c r="E213" s="151"/>
      <c r="F213" s="152"/>
    </row>
    <row r="214" ht="36.75" spans="2:6">
      <c r="B214" s="134"/>
      <c r="C214" s="134" t="s">
        <v>143</v>
      </c>
      <c r="D214" s="134" t="s">
        <v>144</v>
      </c>
      <c r="E214" s="134" t="s">
        <v>145</v>
      </c>
      <c r="F214" s="134" t="s">
        <v>14</v>
      </c>
    </row>
    <row r="215" ht="15.75" spans="2:6">
      <c r="B215" s="134" t="s">
        <v>146</v>
      </c>
      <c r="C215" s="3">
        <v>1384281.6</v>
      </c>
      <c r="D215" s="138">
        <v>0</v>
      </c>
      <c r="E215" s="138">
        <v>0</v>
      </c>
      <c r="F215" s="3">
        <v>1384281.6</v>
      </c>
    </row>
    <row r="216" ht="15.75" spans="2:6">
      <c r="B216" s="134" t="s">
        <v>147</v>
      </c>
      <c r="C216" s="3">
        <v>1384281.6</v>
      </c>
      <c r="D216" s="138">
        <v>0</v>
      </c>
      <c r="E216" s="138">
        <v>0</v>
      </c>
    </row>
    <row r="220" ht="15.75"/>
    <row r="221" ht="36" customHeight="1" spans="2:6">
      <c r="B221" s="149" t="s">
        <v>157</v>
      </c>
      <c r="C221" s="150"/>
      <c r="D221" s="150"/>
      <c r="E221" s="151"/>
      <c r="F221" s="152"/>
    </row>
    <row r="222" ht="36.75" spans="2:6">
      <c r="B222" s="134"/>
      <c r="C222" s="134" t="s">
        <v>143</v>
      </c>
      <c r="D222" s="134" t="s">
        <v>144</v>
      </c>
      <c r="E222" s="134" t="s">
        <v>145</v>
      </c>
      <c r="F222" s="134" t="s">
        <v>14</v>
      </c>
    </row>
    <row r="223" ht="15.75" spans="2:6">
      <c r="B223" s="134" t="s">
        <v>146</v>
      </c>
      <c r="C223" s="3">
        <v>422364.99</v>
      </c>
      <c r="D223" s="138">
        <v>0</v>
      </c>
      <c r="E223" s="138">
        <v>0</v>
      </c>
      <c r="F223" s="3">
        <v>422364.99</v>
      </c>
    </row>
    <row r="224" ht="15.75" spans="2:6">
      <c r="B224" s="134" t="s">
        <v>147</v>
      </c>
      <c r="C224" s="3">
        <v>422364.99</v>
      </c>
      <c r="D224" s="138">
        <v>0</v>
      </c>
      <c r="E224" s="138">
        <v>0</v>
      </c>
    </row>
    <row r="226" ht="15.75"/>
    <row r="227" ht="36" customHeight="1" spans="2:9">
      <c r="B227" s="146" t="s">
        <v>170</v>
      </c>
      <c r="C227" s="129"/>
      <c r="D227" s="129"/>
      <c r="E227" s="147"/>
      <c r="F227" s="148"/>
      <c r="G227" s="131"/>
      <c r="H227" s="131"/>
      <c r="I227" s="132" t="s">
        <v>142</v>
      </c>
    </row>
    <row r="228" ht="36.75" spans="2:9">
      <c r="B228" s="133"/>
      <c r="C228" s="134" t="s">
        <v>143</v>
      </c>
      <c r="D228" s="134" t="s">
        <v>144</v>
      </c>
      <c r="E228" s="134" t="s">
        <v>145</v>
      </c>
      <c r="F228" s="135" t="s">
        <v>14</v>
      </c>
      <c r="G228" s="136"/>
      <c r="H228" s="136"/>
      <c r="I228" s="137"/>
    </row>
    <row r="229" ht="15.75" spans="2:9">
      <c r="B229" s="133" t="s">
        <v>146</v>
      </c>
      <c r="C229" s="138">
        <v>672.6</v>
      </c>
      <c r="D229" s="138">
        <v>0</v>
      </c>
      <c r="E229" s="138">
        <v>0</v>
      </c>
      <c r="F229" s="7">
        <v>672.6</v>
      </c>
      <c r="G229" s="136"/>
      <c r="H229" s="136"/>
      <c r="I229" s="137"/>
    </row>
    <row r="230" ht="15.75" spans="2:9">
      <c r="B230" s="133" t="s">
        <v>147</v>
      </c>
      <c r="C230" s="138">
        <v>672.6</v>
      </c>
      <c r="D230" s="138">
        <v>0</v>
      </c>
      <c r="E230" s="138">
        <v>0</v>
      </c>
      <c r="G230" s="136"/>
      <c r="H230" s="136"/>
      <c r="I230" s="137"/>
    </row>
    <row r="231" ht="15.75" spans="2:9">
      <c r="B231" s="139" t="s">
        <v>148</v>
      </c>
      <c r="C231" s="140">
        <v>0</v>
      </c>
      <c r="D231" s="140">
        <v>0</v>
      </c>
      <c r="E231" s="140">
        <v>0</v>
      </c>
      <c r="F231" s="141">
        <v>0</v>
      </c>
      <c r="G231" s="142"/>
      <c r="H231" s="142"/>
      <c r="I231" s="143"/>
    </row>
    <row r="232" ht="36" customHeight="1" spans="2:9">
      <c r="B232" s="127" t="s">
        <v>140</v>
      </c>
      <c r="C232" s="128" t="s">
        <v>169</v>
      </c>
      <c r="D232" s="129"/>
      <c r="E232" s="129"/>
      <c r="F232" s="130"/>
      <c r="G232" s="131"/>
      <c r="H232" s="131"/>
      <c r="I232" s="132" t="s">
        <v>142</v>
      </c>
    </row>
    <row r="233" ht="36.75" spans="2:9">
      <c r="B233" s="133"/>
      <c r="C233" s="134" t="s">
        <v>143</v>
      </c>
      <c r="D233" s="134" t="s">
        <v>144</v>
      </c>
      <c r="E233" s="134" t="s">
        <v>145</v>
      </c>
      <c r="F233" s="135" t="s">
        <v>14</v>
      </c>
      <c r="G233" s="136"/>
      <c r="H233" s="136"/>
      <c r="I233" s="137"/>
    </row>
    <row r="234" ht="15.75" spans="2:9">
      <c r="B234" s="133" t="s">
        <v>146</v>
      </c>
      <c r="C234" s="3">
        <v>84983.6</v>
      </c>
      <c r="D234" s="138">
        <v>0</v>
      </c>
      <c r="E234" s="138">
        <v>0</v>
      </c>
      <c r="F234" s="1">
        <v>84983.6</v>
      </c>
      <c r="G234" s="136"/>
      <c r="H234" s="136"/>
      <c r="I234" s="137"/>
    </row>
    <row r="235" ht="15.75" spans="2:9">
      <c r="B235" s="133" t="s">
        <v>147</v>
      </c>
      <c r="C235" s="3">
        <v>84983.6</v>
      </c>
      <c r="D235" s="138">
        <v>0</v>
      </c>
      <c r="E235" s="138">
        <v>0</v>
      </c>
      <c r="G235" s="136"/>
      <c r="H235" s="136"/>
      <c r="I235" s="137"/>
    </row>
    <row r="236" ht="15.75" spans="2:9">
      <c r="B236" s="139" t="s">
        <v>148</v>
      </c>
      <c r="C236" s="140">
        <v>0</v>
      </c>
      <c r="D236" s="140">
        <v>0</v>
      </c>
      <c r="E236" s="140">
        <v>0</v>
      </c>
      <c r="F236" s="141">
        <v>0</v>
      </c>
      <c r="G236" s="142"/>
      <c r="H236" s="142"/>
      <c r="I236" s="143"/>
    </row>
    <row r="237" ht="36" customHeight="1" spans="2:9">
      <c r="B237" s="127" t="s">
        <v>140</v>
      </c>
      <c r="C237" s="128" t="s">
        <v>152</v>
      </c>
      <c r="D237" s="129"/>
      <c r="E237" s="129"/>
      <c r="F237" s="130"/>
    </row>
    <row r="238" ht="36.75" spans="2:9">
      <c r="B238" s="133"/>
      <c r="C238" s="134" t="s">
        <v>143</v>
      </c>
      <c r="D238" s="134" t="s">
        <v>144</v>
      </c>
      <c r="E238" s="134" t="s">
        <v>145</v>
      </c>
      <c r="F238" s="135" t="s">
        <v>14</v>
      </c>
    </row>
    <row r="239" ht="15.75" spans="2:9">
      <c r="B239" s="133" t="s">
        <v>146</v>
      </c>
      <c r="C239" s="3">
        <v>872093.67</v>
      </c>
      <c r="D239" s="138">
        <v>0</v>
      </c>
      <c r="E239" s="138">
        <v>0</v>
      </c>
    </row>
    <row r="240" ht="15.75" spans="2:9">
      <c r="B240" s="139" t="s">
        <v>147</v>
      </c>
      <c r="C240" s="153">
        <v>872093.67</v>
      </c>
      <c r="D240" s="140">
        <v>0</v>
      </c>
      <c r="E240" s="140">
        <v>0</v>
      </c>
      <c r="F240" s="154">
        <v>872093.67</v>
      </c>
    </row>
    <row r="243" ht="15.75"/>
    <row r="244" ht="36" customHeight="1" spans="2:7">
      <c r="B244" s="149" t="s">
        <v>152</v>
      </c>
      <c r="C244" s="150"/>
      <c r="D244" s="150"/>
      <c r="E244" s="151"/>
      <c r="F244" s="152"/>
    </row>
    <row r="245" ht="36.75" spans="2:7">
      <c r="B245" s="134"/>
      <c r="C245" s="134" t="s">
        <v>143</v>
      </c>
      <c r="D245" s="134" t="s">
        <v>144</v>
      </c>
      <c r="E245" s="134" t="s">
        <v>145</v>
      </c>
      <c r="F245" s="134" t="s">
        <v>14</v>
      </c>
    </row>
    <row r="246" ht="15.75" spans="2:7">
      <c r="B246" s="134" t="s">
        <v>146</v>
      </c>
      <c r="C246" s="3">
        <v>1151938.21</v>
      </c>
      <c r="D246" s="138">
        <v>0</v>
      </c>
      <c r="E246" s="138">
        <v>0</v>
      </c>
    </row>
    <row r="247" ht="15.75" spans="2:7">
      <c r="B247" s="134" t="s">
        <v>147</v>
      </c>
      <c r="C247" s="3">
        <v>1151938.21</v>
      </c>
      <c r="D247" s="138">
        <v>0</v>
      </c>
      <c r="E247" s="138">
        <v>0</v>
      </c>
      <c r="F247" s="3">
        <v>1151938.21</v>
      </c>
    </row>
    <row r="249" ht="15.75"/>
    <row r="250" ht="36" customHeight="1" spans="2:7">
      <c r="B250" s="149" t="s">
        <v>173</v>
      </c>
      <c r="C250" s="150"/>
      <c r="D250" s="150"/>
      <c r="E250" s="151"/>
      <c r="F250" s="152"/>
    </row>
    <row r="251" ht="36.75" spans="2:7">
      <c r="B251" s="134"/>
      <c r="C251" s="134" t="s">
        <v>143</v>
      </c>
      <c r="D251" s="134" t="s">
        <v>144</v>
      </c>
      <c r="E251" s="134" t="s">
        <v>145</v>
      </c>
      <c r="F251" s="134" t="s">
        <v>14</v>
      </c>
    </row>
    <row r="252" ht="15.75" spans="2:7">
      <c r="B252" s="134" t="s">
        <v>146</v>
      </c>
      <c r="C252" s="3">
        <v>25315.65</v>
      </c>
      <c r="D252" s="138">
        <v>0</v>
      </c>
      <c r="E252" s="138">
        <v>0</v>
      </c>
      <c r="F252" s="3">
        <v>25315.65</v>
      </c>
    </row>
    <row r="253" ht="15.75" spans="2:7">
      <c r="B253" s="134" t="s">
        <v>147</v>
      </c>
      <c r="C253" s="3">
        <v>25315.65</v>
      </c>
      <c r="D253" s="138">
        <v>0</v>
      </c>
      <c r="E253" s="138">
        <v>0</v>
      </c>
    </row>
    <row r="255" ht="15.75"/>
    <row r="256" ht="36" customHeight="1" spans="2:7">
      <c r="B256" s="146" t="s">
        <v>174</v>
      </c>
      <c r="C256" s="129"/>
      <c r="D256" s="129"/>
      <c r="E256" s="147"/>
      <c r="F256" s="148"/>
      <c r="G256" s="132"/>
    </row>
    <row r="257" ht="36.75" spans="2:7">
      <c r="B257" s="133"/>
      <c r="C257" s="134" t="s">
        <v>143</v>
      </c>
      <c r="D257" s="134" t="s">
        <v>144</v>
      </c>
      <c r="E257" s="134" t="s">
        <v>145</v>
      </c>
      <c r="F257" s="135" t="s">
        <v>14</v>
      </c>
      <c r="G257" s="137"/>
    </row>
    <row r="258" ht="15.75" spans="2:7">
      <c r="B258" s="133" t="s">
        <v>146</v>
      </c>
      <c r="C258" s="3">
        <v>247800</v>
      </c>
      <c r="D258" s="138">
        <v>0</v>
      </c>
      <c r="E258" s="138">
        <v>0</v>
      </c>
      <c r="F258" s="1">
        <v>247800</v>
      </c>
      <c r="G258" s="137"/>
    </row>
    <row r="259" ht="15.75" spans="2:7">
      <c r="B259" s="133" t="s">
        <v>147</v>
      </c>
      <c r="C259" s="3">
        <v>247800</v>
      </c>
      <c r="D259" s="138">
        <v>0</v>
      </c>
      <c r="E259" s="138">
        <v>0</v>
      </c>
      <c r="G259" s="137"/>
    </row>
    <row r="260" ht="15.75" spans="2:7">
      <c r="B260" s="139" t="s">
        <v>148</v>
      </c>
      <c r="C260" s="140">
        <v>0</v>
      </c>
      <c r="D260" s="140">
        <v>0</v>
      </c>
      <c r="E260" s="140">
        <v>0</v>
      </c>
      <c r="F260" s="141">
        <v>0</v>
      </c>
      <c r="G260" s="143"/>
    </row>
    <row r="262" ht="15.75"/>
    <row r="263" ht="36" customHeight="1" spans="2:7">
      <c r="B263" s="149" t="s">
        <v>161</v>
      </c>
      <c r="C263" s="150"/>
      <c r="D263" s="150"/>
      <c r="E263" s="151"/>
      <c r="F263" s="152"/>
    </row>
    <row r="264" ht="36.75" spans="2:7">
      <c r="B264" s="134"/>
      <c r="C264" s="134" t="s">
        <v>143</v>
      </c>
      <c r="D264" s="134" t="s">
        <v>144</v>
      </c>
      <c r="E264" s="134" t="s">
        <v>145</v>
      </c>
      <c r="F264" s="134" t="s">
        <v>14</v>
      </c>
    </row>
    <row r="265" ht="15.75" spans="2:7">
      <c r="B265" s="134" t="s">
        <v>146</v>
      </c>
      <c r="C265" s="3">
        <v>41250</v>
      </c>
      <c r="D265" s="138">
        <v>0</v>
      </c>
      <c r="E265" s="138">
        <v>0</v>
      </c>
    </row>
    <row r="266" ht="15.75" spans="2:7">
      <c r="B266" s="134" t="s">
        <v>147</v>
      </c>
      <c r="C266" s="3">
        <v>41250</v>
      </c>
      <c r="D266" s="138">
        <v>0</v>
      </c>
      <c r="E266" s="138">
        <v>0</v>
      </c>
      <c r="F266" s="3">
        <v>41250</v>
      </c>
    </row>
    <row r="269" ht="15.75"/>
    <row r="270" ht="36" customHeight="1" spans="2:7">
      <c r="B270" s="146" t="s">
        <v>174</v>
      </c>
      <c r="C270" s="129"/>
      <c r="D270" s="129"/>
      <c r="E270" s="147"/>
      <c r="F270" s="148"/>
      <c r="G270" s="132"/>
    </row>
    <row r="271" ht="36.75" spans="2:7">
      <c r="B271" s="133"/>
      <c r="C271" s="134" t="s">
        <v>143</v>
      </c>
      <c r="D271" s="134" t="s">
        <v>144</v>
      </c>
      <c r="E271" s="134" t="s">
        <v>145</v>
      </c>
      <c r="F271" s="135" t="s">
        <v>14</v>
      </c>
      <c r="G271" s="137"/>
    </row>
    <row r="272" ht="15.75" spans="2:7">
      <c r="B272" s="133" t="s">
        <v>146</v>
      </c>
      <c r="C272" s="3">
        <v>5631815.5</v>
      </c>
      <c r="D272" s="138">
        <v>0</v>
      </c>
      <c r="E272" s="138">
        <v>0</v>
      </c>
      <c r="F272" s="1">
        <v>5631815.5</v>
      </c>
      <c r="G272" s="137"/>
    </row>
    <row r="273" ht="15.75" spans="2:7">
      <c r="B273" s="133" t="s">
        <v>147</v>
      </c>
      <c r="C273" s="3">
        <v>5631815.5</v>
      </c>
      <c r="D273" s="138">
        <v>0</v>
      </c>
      <c r="E273" s="138">
        <v>0</v>
      </c>
      <c r="F273" s="1">
        <v>5631815.5</v>
      </c>
      <c r="G273" s="137"/>
    </row>
    <row r="274" ht="15.75" spans="2:7">
      <c r="B274" s="139" t="s">
        <v>148</v>
      </c>
      <c r="C274" s="140">
        <v>0</v>
      </c>
      <c r="D274" s="140">
        <v>0</v>
      </c>
      <c r="E274" s="140">
        <v>0</v>
      </c>
      <c r="F274" s="141">
        <v>0</v>
      </c>
      <c r="G274" s="143"/>
    </row>
    <row r="276" ht="15.75"/>
    <row r="277" ht="36" customHeight="1" spans="2:7">
      <c r="B277" s="146" t="s">
        <v>175</v>
      </c>
      <c r="C277" s="129"/>
      <c r="D277" s="129"/>
      <c r="E277" s="147"/>
      <c r="F277" s="148"/>
      <c r="G277" s="132"/>
    </row>
    <row r="278" ht="36.75" spans="2:7">
      <c r="B278" s="133"/>
      <c r="C278" s="134" t="s">
        <v>143</v>
      </c>
      <c r="D278" s="134" t="s">
        <v>144</v>
      </c>
      <c r="E278" s="134" t="s">
        <v>145</v>
      </c>
      <c r="F278" s="135" t="s">
        <v>14</v>
      </c>
      <c r="G278" s="137"/>
    </row>
    <row r="279" ht="15.75" spans="2:7">
      <c r="B279" s="133" t="s">
        <v>146</v>
      </c>
      <c r="C279" s="3">
        <v>600000</v>
      </c>
      <c r="D279" s="138">
        <v>0</v>
      </c>
      <c r="E279" s="138">
        <v>0</v>
      </c>
      <c r="F279" s="1">
        <v>600000</v>
      </c>
      <c r="G279" s="137"/>
    </row>
    <row r="280" ht="15.75" spans="2:7">
      <c r="B280" s="133" t="s">
        <v>147</v>
      </c>
      <c r="C280" s="3">
        <v>600000</v>
      </c>
      <c r="D280" s="138">
        <v>0</v>
      </c>
      <c r="E280" s="138">
        <v>0</v>
      </c>
      <c r="G280" s="137"/>
    </row>
    <row r="281" ht="15.75" spans="2:7">
      <c r="B281" s="139" t="s">
        <v>148</v>
      </c>
      <c r="C281" s="140">
        <v>0</v>
      </c>
      <c r="D281" s="140">
        <v>0</v>
      </c>
      <c r="E281" s="140">
        <v>0</v>
      </c>
      <c r="F281" s="141">
        <v>0</v>
      </c>
      <c r="G281" s="143"/>
    </row>
    <row r="283" ht="15.75"/>
    <row r="284" ht="36" customHeight="1" spans="2:7">
      <c r="B284" s="149" t="s">
        <v>176</v>
      </c>
      <c r="C284" s="150"/>
      <c r="D284" s="150"/>
      <c r="E284" s="151"/>
      <c r="F284" s="152"/>
    </row>
    <row r="285" ht="36.75" spans="2:7">
      <c r="B285" s="134"/>
      <c r="C285" s="134" t="s">
        <v>143</v>
      </c>
      <c r="D285" s="134" t="s">
        <v>144</v>
      </c>
      <c r="E285" s="134" t="s">
        <v>145</v>
      </c>
      <c r="F285" s="134" t="s">
        <v>14</v>
      </c>
    </row>
    <row r="286" ht="15.75" spans="2:7">
      <c r="B286" s="134" t="s">
        <v>146</v>
      </c>
      <c r="C286" s="3">
        <v>73691</v>
      </c>
      <c r="D286" s="138">
        <v>0</v>
      </c>
      <c r="E286" s="138">
        <v>0</v>
      </c>
    </row>
    <row r="287" ht="15.75" spans="2:7">
      <c r="B287" s="134" t="s">
        <v>147</v>
      </c>
      <c r="C287" s="3">
        <v>73691</v>
      </c>
      <c r="D287" s="138">
        <v>0</v>
      </c>
      <c r="E287" s="138">
        <v>0</v>
      </c>
      <c r="F287" s="3">
        <v>73691</v>
      </c>
    </row>
    <row r="291" ht="15.75" spans="2:6">
      <c r="B291" s="152"/>
      <c r="C291" s="152"/>
      <c r="D291" s="152"/>
      <c r="E291" s="152"/>
      <c r="F291" s="152"/>
    </row>
    <row r="292" ht="36" customHeight="1" spans="2:6">
      <c r="B292" s="149" t="s">
        <v>177</v>
      </c>
      <c r="C292" s="150"/>
      <c r="D292" s="150"/>
      <c r="E292" s="151"/>
      <c r="F292" s="152"/>
    </row>
    <row r="293" ht="36.75" spans="2:6">
      <c r="B293" s="134"/>
      <c r="C293" s="134" t="s">
        <v>143</v>
      </c>
      <c r="D293" s="134" t="s">
        <v>144</v>
      </c>
      <c r="E293" s="134" t="s">
        <v>145</v>
      </c>
      <c r="F293" s="134" t="s">
        <v>14</v>
      </c>
    </row>
    <row r="294" ht="15.75" spans="2:6">
      <c r="B294" s="134" t="s">
        <v>146</v>
      </c>
      <c r="C294" s="3">
        <v>94832.91</v>
      </c>
      <c r="D294" s="138">
        <v>0</v>
      </c>
      <c r="E294" s="138">
        <v>0</v>
      </c>
      <c r="F294" s="3">
        <v>94832.91</v>
      </c>
    </row>
    <row r="295" ht="15.75" spans="2:6">
      <c r="B295" s="134" t="s">
        <v>147</v>
      </c>
      <c r="C295" s="3">
        <v>94832.91</v>
      </c>
      <c r="D295" s="138">
        <v>0</v>
      </c>
      <c r="E295" s="138">
        <v>0</v>
      </c>
    </row>
    <row r="296" ht="15.75" spans="2:6">
      <c r="B296" s="134" t="s">
        <v>148</v>
      </c>
      <c r="C296" s="138">
        <v>0</v>
      </c>
      <c r="D296" s="138">
        <v>0</v>
      </c>
      <c r="E296" s="138">
        <v>0</v>
      </c>
      <c r="F296" s="138"/>
    </row>
    <row r="299" ht="15.75"/>
    <row r="300" ht="36" customHeight="1" spans="2:6">
      <c r="B300" s="149" t="s">
        <v>178</v>
      </c>
      <c r="C300" s="150"/>
      <c r="D300" s="150"/>
      <c r="E300" s="151"/>
      <c r="F300" s="152"/>
    </row>
    <row r="301" ht="36.75" spans="2:6">
      <c r="B301" s="134"/>
      <c r="C301" s="134" t="s">
        <v>143</v>
      </c>
      <c r="D301" s="134" t="s">
        <v>144</v>
      </c>
      <c r="E301" s="134" t="s">
        <v>145</v>
      </c>
      <c r="F301" s="134" t="s">
        <v>14</v>
      </c>
    </row>
    <row r="302" ht="15.75" spans="2:6">
      <c r="B302" s="134" t="s">
        <v>146</v>
      </c>
      <c r="C302" s="3">
        <v>123200</v>
      </c>
      <c r="D302" s="138">
        <v>0</v>
      </c>
      <c r="E302" s="138">
        <v>0</v>
      </c>
      <c r="F302" s="3">
        <v>123200</v>
      </c>
    </row>
    <row r="303" ht="15.75" spans="2:6">
      <c r="B303" s="134" t="s">
        <v>147</v>
      </c>
      <c r="C303" s="3">
        <v>123200</v>
      </c>
      <c r="D303" s="138">
        <v>0</v>
      </c>
      <c r="E303" s="138">
        <v>0</v>
      </c>
    </row>
    <row r="306" ht="15.75"/>
    <row r="307" ht="36" customHeight="1" spans="2:6">
      <c r="B307" s="149" t="s">
        <v>179</v>
      </c>
      <c r="C307" s="150"/>
      <c r="D307" s="150"/>
      <c r="E307" s="151"/>
      <c r="F307" s="152"/>
    </row>
    <row r="308" ht="36.75" spans="2:6">
      <c r="B308" s="134"/>
      <c r="C308" s="134" t="s">
        <v>143</v>
      </c>
      <c r="D308" s="134" t="s">
        <v>144</v>
      </c>
      <c r="E308" s="134" t="s">
        <v>145</v>
      </c>
      <c r="F308" s="134" t="s">
        <v>14</v>
      </c>
    </row>
    <row r="309" ht="15.75" spans="2:6">
      <c r="B309" s="134" t="s">
        <v>146</v>
      </c>
      <c r="C309" s="3">
        <v>233640</v>
      </c>
      <c r="D309" s="138">
        <v>0</v>
      </c>
      <c r="E309" s="138">
        <v>0</v>
      </c>
      <c r="F309" s="3">
        <v>233640</v>
      </c>
    </row>
    <row r="310" ht="15.75" spans="2:6">
      <c r="B310" s="134" t="s">
        <v>147</v>
      </c>
      <c r="C310" s="3">
        <v>233640</v>
      </c>
      <c r="D310" s="138">
        <v>0</v>
      </c>
      <c r="E310" s="138">
        <v>0</v>
      </c>
    </row>
    <row r="312" ht="15.75"/>
    <row r="313" ht="36" customHeight="1" spans="2:6">
      <c r="B313" s="149" t="s">
        <v>180</v>
      </c>
      <c r="C313" s="150"/>
      <c r="D313" s="150"/>
      <c r="E313" s="151"/>
      <c r="F313" s="152"/>
    </row>
    <row r="314" ht="36.75" spans="2:6">
      <c r="B314" s="134"/>
      <c r="C314" s="134" t="s">
        <v>143</v>
      </c>
      <c r="D314" s="134" t="s">
        <v>144</v>
      </c>
      <c r="E314" s="134" t="s">
        <v>145</v>
      </c>
      <c r="F314" s="134" t="s">
        <v>14</v>
      </c>
    </row>
    <row r="315" ht="15.75" spans="2:6">
      <c r="B315" s="134" t="s">
        <v>146</v>
      </c>
      <c r="C315" s="3">
        <v>5596150</v>
      </c>
      <c r="D315" s="138">
        <v>0</v>
      </c>
      <c r="E315" s="138">
        <v>0</v>
      </c>
    </row>
    <row r="316" ht="15.75" spans="2:6">
      <c r="B316" s="134" t="s">
        <v>147</v>
      </c>
      <c r="C316" s="3">
        <v>5596150</v>
      </c>
      <c r="D316" s="138">
        <v>0</v>
      </c>
      <c r="E316" s="138">
        <v>0</v>
      </c>
      <c r="F316" s="3">
        <v>5596150</v>
      </c>
    </row>
    <row r="319" ht="15.75"/>
    <row r="320" ht="36" customHeight="1" spans="2:6">
      <c r="B320" s="149" t="s">
        <v>176</v>
      </c>
      <c r="C320" s="150"/>
      <c r="D320" s="150"/>
      <c r="E320" s="151"/>
      <c r="F320" s="152"/>
    </row>
    <row r="321" ht="36.75" spans="2:7">
      <c r="B321" s="134"/>
      <c r="C321" s="134" t="s">
        <v>143</v>
      </c>
      <c r="D321" s="134" t="s">
        <v>144</v>
      </c>
      <c r="E321" s="134" t="s">
        <v>145</v>
      </c>
      <c r="F321" s="134" t="s">
        <v>14</v>
      </c>
    </row>
    <row r="322" ht="15.75" spans="2:7">
      <c r="B322" s="134" t="s">
        <v>146</v>
      </c>
      <c r="C322" s="3">
        <v>299000.2</v>
      </c>
      <c r="D322" s="138">
        <v>0</v>
      </c>
      <c r="E322" s="138">
        <v>0</v>
      </c>
      <c r="F322" s="3">
        <v>299000.2</v>
      </c>
    </row>
    <row r="323" ht="15.75" spans="2:7">
      <c r="B323" s="134" t="s">
        <v>147</v>
      </c>
      <c r="C323" s="3">
        <v>299000.2</v>
      </c>
      <c r="D323" s="138">
        <v>0</v>
      </c>
      <c r="E323" s="138">
        <v>0</v>
      </c>
    </row>
    <row r="325" ht="15.75"/>
    <row r="326" ht="36" customHeight="1" spans="2:7">
      <c r="B326" s="149" t="s">
        <v>159</v>
      </c>
      <c r="C326" s="150"/>
      <c r="D326" s="150"/>
      <c r="E326" s="151"/>
      <c r="F326" s="152"/>
    </row>
    <row r="327" ht="36.75" spans="2:7">
      <c r="B327" s="134"/>
      <c r="C327" s="134" t="s">
        <v>143</v>
      </c>
      <c r="D327" s="134" t="s">
        <v>144</v>
      </c>
      <c r="E327" s="134" t="s">
        <v>145</v>
      </c>
      <c r="F327" s="134" t="s">
        <v>14</v>
      </c>
    </row>
    <row r="328" ht="15.75" spans="2:7">
      <c r="B328" s="134" t="s">
        <v>146</v>
      </c>
      <c r="C328" s="3">
        <v>134520</v>
      </c>
      <c r="D328" s="138">
        <v>0</v>
      </c>
      <c r="E328" s="138">
        <v>0</v>
      </c>
      <c r="F328" s="3">
        <v>134520</v>
      </c>
    </row>
    <row r="329" ht="15.75" spans="2:7">
      <c r="B329" s="134" t="s">
        <v>147</v>
      </c>
      <c r="C329" s="3">
        <v>134520</v>
      </c>
      <c r="D329" s="138">
        <v>0</v>
      </c>
      <c r="E329" s="138">
        <v>0</v>
      </c>
    </row>
    <row r="332" ht="15.75"/>
    <row r="333" ht="36" customHeight="1" spans="2:7">
      <c r="B333" s="146" t="s">
        <v>152</v>
      </c>
      <c r="C333" s="129"/>
      <c r="D333" s="129"/>
      <c r="E333" s="147"/>
      <c r="F333" s="148"/>
      <c r="G333" s="132"/>
    </row>
    <row r="334" ht="36.75" spans="2:7">
      <c r="B334" s="133"/>
      <c r="C334" s="134" t="s">
        <v>143</v>
      </c>
      <c r="D334" s="134" t="s">
        <v>144</v>
      </c>
      <c r="E334" s="134" t="s">
        <v>145</v>
      </c>
      <c r="F334" s="135" t="s">
        <v>14</v>
      </c>
      <c r="G334" s="137"/>
    </row>
    <row r="335" ht="15.75" spans="2:7">
      <c r="B335" s="133" t="s">
        <v>146</v>
      </c>
      <c r="C335" s="3">
        <v>7080</v>
      </c>
      <c r="D335" s="138">
        <v>0</v>
      </c>
      <c r="E335" s="138">
        <v>0</v>
      </c>
      <c r="F335" s="1">
        <v>7080</v>
      </c>
      <c r="G335" s="137"/>
    </row>
    <row r="336" ht="15.75" spans="2:7">
      <c r="B336" s="133" t="s">
        <v>147</v>
      </c>
      <c r="C336" s="3">
        <v>7080</v>
      </c>
      <c r="D336" s="138">
        <v>0</v>
      </c>
      <c r="E336" s="138">
        <v>0</v>
      </c>
      <c r="G336" s="137"/>
    </row>
    <row r="337" ht="15.75" spans="2:7">
      <c r="B337" s="139" t="s">
        <v>148</v>
      </c>
      <c r="C337" s="140">
        <v>0</v>
      </c>
      <c r="D337" s="140">
        <v>0</v>
      </c>
      <c r="E337" s="140">
        <v>0</v>
      </c>
      <c r="F337" s="141">
        <v>0</v>
      </c>
      <c r="G337" s="143"/>
    </row>
    <row r="339" ht="15.75"/>
    <row r="340" ht="36" customHeight="1" spans="2:7">
      <c r="B340" s="146" t="s">
        <v>162</v>
      </c>
      <c r="C340" s="129"/>
      <c r="D340" s="129"/>
      <c r="E340" s="147"/>
      <c r="F340" s="148"/>
      <c r="G340" s="132"/>
    </row>
    <row r="341" ht="36.75" spans="2:7">
      <c r="B341" s="133"/>
      <c r="C341" s="134" t="s">
        <v>143</v>
      </c>
      <c r="D341" s="134" t="s">
        <v>144</v>
      </c>
      <c r="E341" s="134" t="s">
        <v>145</v>
      </c>
      <c r="F341" s="135" t="s">
        <v>14</v>
      </c>
      <c r="G341" s="137"/>
    </row>
    <row r="342" ht="15.75" spans="2:7">
      <c r="B342" s="133" t="s">
        <v>146</v>
      </c>
      <c r="C342" s="3">
        <v>10795.74</v>
      </c>
      <c r="D342" s="138">
        <v>0</v>
      </c>
      <c r="E342" s="138">
        <v>0</v>
      </c>
      <c r="F342" s="1">
        <v>10795.74</v>
      </c>
      <c r="G342" s="137"/>
    </row>
    <row r="343" ht="15.75" spans="2:7">
      <c r="B343" s="133" t="s">
        <v>147</v>
      </c>
      <c r="C343" s="3">
        <v>10795.74</v>
      </c>
      <c r="D343" s="138">
        <v>0</v>
      </c>
      <c r="E343" s="138">
        <v>0</v>
      </c>
      <c r="G343" s="137"/>
    </row>
    <row r="344" ht="15.75" spans="2:7">
      <c r="B344" s="139" t="s">
        <v>148</v>
      </c>
      <c r="C344" s="140">
        <v>0</v>
      </c>
      <c r="D344" s="140">
        <v>0</v>
      </c>
      <c r="E344" s="140">
        <v>0</v>
      </c>
      <c r="F344" s="141">
        <v>0</v>
      </c>
      <c r="G344" s="143"/>
    </row>
    <row r="346" ht="15.75"/>
    <row r="347" ht="36" customHeight="1" spans="2:7">
      <c r="B347" s="149" t="s">
        <v>175</v>
      </c>
      <c r="C347" s="150"/>
      <c r="D347" s="150"/>
      <c r="E347" s="151"/>
      <c r="F347" s="152"/>
    </row>
    <row r="348" ht="36.75" spans="2:7">
      <c r="B348" s="134"/>
      <c r="C348" s="134" t="s">
        <v>143</v>
      </c>
      <c r="D348" s="134" t="s">
        <v>144</v>
      </c>
      <c r="E348" s="134" t="s">
        <v>145</v>
      </c>
      <c r="F348" s="134" t="s">
        <v>14</v>
      </c>
    </row>
    <row r="349" ht="15.75" spans="2:7">
      <c r="B349" s="134" t="s">
        <v>146</v>
      </c>
      <c r="C349" s="3">
        <v>166380</v>
      </c>
      <c r="D349" s="138">
        <v>0</v>
      </c>
      <c r="E349" s="138">
        <v>0</v>
      </c>
      <c r="F349" s="3">
        <v>166380</v>
      </c>
    </row>
    <row r="350" ht="15.75" spans="2:7">
      <c r="B350" s="134" t="s">
        <v>147</v>
      </c>
      <c r="C350" s="3">
        <v>166380</v>
      </c>
      <c r="D350" s="138">
        <v>0</v>
      </c>
      <c r="E350" s="138">
        <v>0</v>
      </c>
    </row>
    <row r="353" ht="15.75"/>
    <row r="354" ht="36" customHeight="1" spans="2:6">
      <c r="B354" s="149" t="s">
        <v>181</v>
      </c>
      <c r="C354" s="150"/>
      <c r="D354" s="150"/>
      <c r="E354" s="151"/>
      <c r="F354" s="152"/>
    </row>
    <row r="355" ht="36.75" spans="2:6">
      <c r="B355" s="134"/>
      <c r="C355" s="134" t="s">
        <v>143</v>
      </c>
      <c r="D355" s="134" t="s">
        <v>144</v>
      </c>
      <c r="E355" s="134" t="s">
        <v>145</v>
      </c>
      <c r="F355" s="134" t="s">
        <v>14</v>
      </c>
    </row>
    <row r="356" ht="15.75" spans="2:6">
      <c r="B356" s="134" t="s">
        <v>146</v>
      </c>
      <c r="C356" s="3">
        <v>371706.02</v>
      </c>
      <c r="D356" s="138">
        <v>0</v>
      </c>
      <c r="E356" s="138">
        <v>0</v>
      </c>
      <c r="F356" s="3">
        <v>371706.02</v>
      </c>
    </row>
    <row r="357" ht="15.75" spans="2:6">
      <c r="B357" s="134" t="s">
        <v>147</v>
      </c>
      <c r="C357" s="3">
        <v>371706.02</v>
      </c>
      <c r="D357" s="138">
        <v>0</v>
      </c>
      <c r="E357" s="138">
        <v>0</v>
      </c>
    </row>
    <row r="359" ht="15.75"/>
    <row r="360" ht="36" customHeight="1" spans="2:6">
      <c r="B360" s="149" t="s">
        <v>182</v>
      </c>
      <c r="C360" s="150"/>
      <c r="D360" s="150"/>
      <c r="E360" s="151"/>
      <c r="F360" s="152"/>
    </row>
    <row r="361" ht="36.75" spans="2:6">
      <c r="B361" s="134"/>
      <c r="C361" s="134" t="s">
        <v>143</v>
      </c>
      <c r="D361" s="134" t="s">
        <v>144</v>
      </c>
      <c r="E361" s="134" t="s">
        <v>145</v>
      </c>
      <c r="F361" s="134" t="s">
        <v>14</v>
      </c>
    </row>
    <row r="362" ht="15.75" spans="2:6">
      <c r="B362" s="134" t="s">
        <v>146</v>
      </c>
      <c r="C362" s="3">
        <v>93758.46</v>
      </c>
      <c r="D362" s="138">
        <v>0</v>
      </c>
      <c r="E362" s="138">
        <v>0</v>
      </c>
      <c r="F362" s="3">
        <v>93758.46</v>
      </c>
    </row>
    <row r="363" ht="15.75" spans="2:6">
      <c r="B363" s="134" t="s">
        <v>147</v>
      </c>
      <c r="C363" s="3">
        <v>93758.46</v>
      </c>
      <c r="D363" s="138">
        <v>0</v>
      </c>
      <c r="E363" s="138">
        <v>0</v>
      </c>
    </row>
    <row r="364" ht="15.75" spans="2:6">
      <c r="B364" s="134" t="s">
        <v>148</v>
      </c>
      <c r="C364" s="138">
        <v>0</v>
      </c>
      <c r="D364" s="138">
        <v>0</v>
      </c>
      <c r="E364" s="138">
        <v>0</v>
      </c>
      <c r="F364" s="138">
        <v>0</v>
      </c>
    </row>
    <row r="366" ht="15.75"/>
    <row r="367" ht="36" customHeight="1" spans="2:6">
      <c r="B367" s="149" t="s">
        <v>176</v>
      </c>
      <c r="C367" s="150"/>
      <c r="D367" s="150"/>
      <c r="E367" s="151"/>
      <c r="F367" s="152"/>
    </row>
    <row r="368" ht="36.75" spans="2:6">
      <c r="B368" s="134"/>
      <c r="C368" s="134" t="s">
        <v>143</v>
      </c>
      <c r="D368" s="134" t="s">
        <v>144</v>
      </c>
      <c r="E368" s="134" t="s">
        <v>145</v>
      </c>
      <c r="F368" s="134" t="s">
        <v>14</v>
      </c>
    </row>
    <row r="369" ht="15.75" spans="2:9">
      <c r="B369" s="134" t="s">
        <v>146</v>
      </c>
      <c r="C369" s="3">
        <v>57679</v>
      </c>
      <c r="D369" s="138">
        <v>0</v>
      </c>
      <c r="E369" s="138">
        <v>0</v>
      </c>
      <c r="F369" s="3">
        <v>57679</v>
      </c>
    </row>
    <row r="370" ht="15.75" spans="2:9">
      <c r="B370" s="134" t="s">
        <v>147</v>
      </c>
      <c r="C370" s="3">
        <v>57679</v>
      </c>
      <c r="D370" s="138">
        <v>0</v>
      </c>
      <c r="E370" s="138">
        <v>0</v>
      </c>
    </row>
    <row r="371" ht="15.75" spans="2:9">
      <c r="B371" s="134" t="s">
        <v>148</v>
      </c>
      <c r="C371" s="138">
        <v>0</v>
      </c>
      <c r="D371" s="138">
        <v>0</v>
      </c>
      <c r="E371" s="138">
        <v>0</v>
      </c>
      <c r="F371" s="138">
        <v>0</v>
      </c>
    </row>
    <row r="373" ht="15.75"/>
    <row r="374" ht="36" customHeight="1" spans="2:9">
      <c r="B374" s="149" t="s">
        <v>174</v>
      </c>
      <c r="C374" s="150"/>
      <c r="D374" s="150"/>
      <c r="E374" s="151"/>
      <c r="F374" s="152"/>
    </row>
    <row r="375" ht="36.75" spans="2:9">
      <c r="B375" s="134"/>
      <c r="C375" s="134" t="s">
        <v>143</v>
      </c>
      <c r="D375" s="134" t="s">
        <v>144</v>
      </c>
      <c r="E375" s="134" t="s">
        <v>145</v>
      </c>
      <c r="F375" s="134" t="s">
        <v>14</v>
      </c>
    </row>
    <row r="376" ht="15.75" spans="2:9">
      <c r="B376" s="134" t="s">
        <v>146</v>
      </c>
      <c r="C376" s="3">
        <v>20254.7</v>
      </c>
      <c r="D376" s="138">
        <v>0</v>
      </c>
      <c r="E376" s="138">
        <v>0</v>
      </c>
      <c r="F376" s="3">
        <v>20254.7</v>
      </c>
    </row>
    <row r="377" ht="15.75" spans="2:9">
      <c r="B377" s="134" t="s">
        <v>147</v>
      </c>
      <c r="C377" s="3">
        <v>20254.7</v>
      </c>
      <c r="D377" s="138">
        <v>0</v>
      </c>
      <c r="E377" s="138">
        <v>0</v>
      </c>
    </row>
    <row r="380" ht="15.75"/>
    <row r="381" ht="15.75" spans="2:9">
      <c r="B381" s="161"/>
      <c r="C381" s="162"/>
      <c r="D381" s="162"/>
      <c r="E381" s="162"/>
      <c r="F381" s="162"/>
      <c r="G381" s="162"/>
      <c r="H381" s="162"/>
      <c r="I381" s="148"/>
    </row>
    <row r="382" ht="36" customHeight="1" spans="2:9">
      <c r="B382" s="146" t="s">
        <v>183</v>
      </c>
      <c r="C382" s="129"/>
      <c r="D382" s="129"/>
      <c r="E382" s="147"/>
      <c r="F382" s="148"/>
      <c r="G382" s="131"/>
      <c r="H382" s="131"/>
      <c r="I382" s="132" t="s">
        <v>142</v>
      </c>
    </row>
    <row r="383" ht="36.75" spans="2:9">
      <c r="B383" s="133"/>
      <c r="C383" s="134" t="s">
        <v>143</v>
      </c>
      <c r="D383" s="134" t="s">
        <v>144</v>
      </c>
      <c r="E383" s="134" t="s">
        <v>145</v>
      </c>
      <c r="F383" s="135" t="s">
        <v>14</v>
      </c>
      <c r="G383" s="136"/>
      <c r="H383" s="136"/>
      <c r="I383" s="137"/>
    </row>
    <row r="384" ht="15.75" spans="2:9">
      <c r="B384" s="133" t="s">
        <v>146</v>
      </c>
      <c r="C384" s="3">
        <v>1649640</v>
      </c>
      <c r="D384" s="138">
        <v>0</v>
      </c>
      <c r="E384" s="138">
        <v>0</v>
      </c>
      <c r="F384" s="1">
        <v>1649640</v>
      </c>
      <c r="G384" s="136"/>
      <c r="H384" s="136"/>
      <c r="I384" s="137"/>
    </row>
    <row r="385" ht="15.75" spans="2:9">
      <c r="B385" s="133" t="s">
        <v>147</v>
      </c>
      <c r="C385" s="3">
        <v>1649640</v>
      </c>
      <c r="D385" s="138">
        <v>0</v>
      </c>
      <c r="E385" s="138">
        <v>0</v>
      </c>
      <c r="G385" s="136"/>
      <c r="H385" s="136"/>
      <c r="I385" s="137"/>
    </row>
    <row r="386" ht="15.75" spans="2:9">
      <c r="B386" s="139" t="s">
        <v>148</v>
      </c>
      <c r="C386" s="140">
        <v>0</v>
      </c>
      <c r="D386" s="140">
        <v>0</v>
      </c>
      <c r="E386" s="140">
        <v>0</v>
      </c>
      <c r="F386" s="141">
        <v>0</v>
      </c>
      <c r="G386" s="142"/>
      <c r="H386" s="142"/>
      <c r="I386" s="143"/>
    </row>
    <row r="387" ht="36" customHeight="1" spans="2:9">
      <c r="B387" s="127" t="s">
        <v>140</v>
      </c>
      <c r="C387" s="128" t="s">
        <v>169</v>
      </c>
      <c r="D387" s="129"/>
      <c r="E387" s="129"/>
      <c r="F387" s="130"/>
      <c r="G387" s="152"/>
      <c r="H387" s="152"/>
      <c r="I387" s="163"/>
    </row>
    <row r="388" ht="36.75" spans="2:9">
      <c r="B388" s="133"/>
      <c r="C388" s="134" t="s">
        <v>143</v>
      </c>
      <c r="D388" s="134" t="s">
        <v>144</v>
      </c>
      <c r="E388" s="134" t="s">
        <v>145</v>
      </c>
      <c r="F388" s="135" t="s">
        <v>14</v>
      </c>
      <c r="G388" s="152"/>
      <c r="H388" s="152"/>
      <c r="I388" s="163"/>
    </row>
    <row r="389" ht="15.75" spans="2:9">
      <c r="B389" s="133" t="s">
        <v>146</v>
      </c>
      <c r="C389" s="3">
        <v>2124000</v>
      </c>
      <c r="D389" s="138">
        <v>0</v>
      </c>
      <c r="E389" s="138">
        <v>0</v>
      </c>
      <c r="F389" s="1">
        <v>2124000</v>
      </c>
      <c r="G389" s="152"/>
      <c r="H389" s="152"/>
      <c r="I389" s="163"/>
    </row>
    <row r="390" ht="15.75" spans="2:9">
      <c r="B390" s="133" t="s">
        <v>147</v>
      </c>
      <c r="C390" s="3">
        <v>2124000</v>
      </c>
      <c r="D390" s="138">
        <v>0</v>
      </c>
      <c r="E390" s="138">
        <v>0</v>
      </c>
      <c r="G390" s="152"/>
      <c r="H390" s="152"/>
      <c r="I390" s="163"/>
    </row>
    <row r="391" ht="15.75" spans="2:9">
      <c r="B391" s="139" t="s">
        <v>148</v>
      </c>
      <c r="C391" s="140">
        <v>0</v>
      </c>
      <c r="D391" s="140">
        <v>0</v>
      </c>
      <c r="E391" s="140">
        <v>0</v>
      </c>
      <c r="F391" s="141"/>
      <c r="G391" s="152"/>
      <c r="H391" s="152"/>
      <c r="I391" s="163"/>
    </row>
    <row r="392" ht="15.75" spans="2:9">
      <c r="B392" s="164"/>
      <c r="C392" s="165"/>
      <c r="D392" s="165"/>
      <c r="E392" s="165"/>
      <c r="F392" s="165"/>
      <c r="G392" s="165"/>
      <c r="H392" s="165"/>
      <c r="I392" s="166"/>
    </row>
    <row r="394" ht="15.75"/>
    <row r="395" ht="36" customHeight="1" spans="2:9">
      <c r="B395" s="149" t="s">
        <v>184</v>
      </c>
      <c r="C395" s="150"/>
      <c r="D395" s="150"/>
      <c r="E395" s="151"/>
      <c r="F395" s="152"/>
    </row>
    <row r="396" ht="36.75" spans="2:9">
      <c r="B396" s="134"/>
      <c r="C396" s="134" t="s">
        <v>143</v>
      </c>
      <c r="D396" s="134" t="s">
        <v>144</v>
      </c>
      <c r="E396" s="134" t="s">
        <v>145</v>
      </c>
      <c r="F396" s="134" t="s">
        <v>14</v>
      </c>
    </row>
    <row r="397" ht="15.75" spans="2:9">
      <c r="B397" s="134" t="s">
        <v>146</v>
      </c>
      <c r="C397" s="3">
        <v>97068.64</v>
      </c>
      <c r="D397" s="138">
        <v>0</v>
      </c>
      <c r="E397" s="138">
        <v>0</v>
      </c>
      <c r="F397" s="3">
        <v>97068.64</v>
      </c>
    </row>
    <row r="398" ht="15.75" spans="2:9">
      <c r="B398" s="134" t="s">
        <v>147</v>
      </c>
      <c r="C398" s="3">
        <v>97068.64</v>
      </c>
      <c r="D398" s="138">
        <v>0</v>
      </c>
      <c r="E398" s="138">
        <v>0</v>
      </c>
    </row>
    <row r="401" ht="15.75"/>
    <row r="402" ht="36" customHeight="1" spans="2:6">
      <c r="B402" s="149" t="s">
        <v>157</v>
      </c>
      <c r="C402" s="150"/>
      <c r="D402" s="150"/>
      <c r="E402" s="151"/>
      <c r="F402" s="152"/>
    </row>
    <row r="403" ht="36.75" spans="2:6">
      <c r="B403" s="134"/>
      <c r="C403" s="134" t="s">
        <v>143</v>
      </c>
      <c r="D403" s="134" t="s">
        <v>144</v>
      </c>
      <c r="E403" s="134" t="s">
        <v>145</v>
      </c>
      <c r="F403" s="134" t="s">
        <v>14</v>
      </c>
    </row>
    <row r="404" ht="15.75" spans="2:6">
      <c r="B404" s="134" t="s">
        <v>146</v>
      </c>
      <c r="C404" s="3">
        <v>250000</v>
      </c>
      <c r="D404" s="138">
        <v>0</v>
      </c>
      <c r="E404" s="138">
        <v>0</v>
      </c>
      <c r="F404" s="3">
        <v>250000</v>
      </c>
    </row>
    <row r="405" ht="15.75" spans="2:6">
      <c r="B405" s="134" t="s">
        <v>147</v>
      </c>
      <c r="C405" s="3">
        <v>250000</v>
      </c>
      <c r="D405" s="138">
        <v>0</v>
      </c>
      <c r="E405" s="138">
        <v>0</v>
      </c>
    </row>
    <row r="408" ht="15.75"/>
    <row r="409" ht="36" customHeight="1" spans="2:6">
      <c r="B409" s="149" t="s">
        <v>185</v>
      </c>
      <c r="C409" s="150"/>
      <c r="D409" s="150"/>
      <c r="E409" s="151"/>
      <c r="F409" s="152"/>
    </row>
    <row r="410" ht="36.75" spans="2:6">
      <c r="B410" s="134"/>
      <c r="C410" s="134" t="s">
        <v>143</v>
      </c>
      <c r="D410" s="134" t="s">
        <v>144</v>
      </c>
      <c r="E410" s="134" t="s">
        <v>145</v>
      </c>
      <c r="F410" s="134" t="s">
        <v>14</v>
      </c>
    </row>
    <row r="411" ht="15.75" spans="2:6">
      <c r="B411" s="134" t="s">
        <v>146</v>
      </c>
      <c r="C411" s="3">
        <v>699740</v>
      </c>
      <c r="D411" s="138">
        <v>0</v>
      </c>
      <c r="E411" s="138">
        <v>0</v>
      </c>
      <c r="F411" s="3">
        <v>699740</v>
      </c>
    </row>
    <row r="412" ht="15.75" spans="2:6">
      <c r="B412" s="134" t="s">
        <v>147</v>
      </c>
      <c r="C412" s="3">
        <v>699740</v>
      </c>
      <c r="D412" s="138">
        <v>0</v>
      </c>
      <c r="E412" s="138">
        <v>0</v>
      </c>
    </row>
    <row r="413" ht="15.75" spans="2:6">
      <c r="B413" s="134" t="s">
        <v>148</v>
      </c>
      <c r="C413" s="138">
        <v>0</v>
      </c>
      <c r="D413" s="138">
        <v>0</v>
      </c>
      <c r="E413" s="138">
        <v>0</v>
      </c>
      <c r="F413" s="138">
        <v>0</v>
      </c>
    </row>
    <row r="416" ht="15.75"/>
    <row r="417" ht="36" customHeight="1" spans="2:6">
      <c r="B417" s="149" t="s">
        <v>186</v>
      </c>
      <c r="C417" s="150"/>
      <c r="D417" s="150"/>
      <c r="E417" s="151"/>
      <c r="F417" s="152"/>
    </row>
    <row r="418" ht="36.75" spans="2:6">
      <c r="B418" s="134"/>
      <c r="C418" s="134" t="s">
        <v>143</v>
      </c>
      <c r="D418" s="134" t="s">
        <v>144</v>
      </c>
      <c r="E418" s="134" t="s">
        <v>145</v>
      </c>
      <c r="F418" s="134" t="s">
        <v>14</v>
      </c>
    </row>
    <row r="419" ht="15.75" spans="2:6">
      <c r="B419" s="134" t="s">
        <v>146</v>
      </c>
      <c r="C419" s="3">
        <v>855500</v>
      </c>
      <c r="D419" s="138">
        <v>0</v>
      </c>
      <c r="E419" s="138">
        <v>0</v>
      </c>
      <c r="F419" s="3">
        <v>855500</v>
      </c>
    </row>
    <row r="420" ht="15.75" spans="2:6">
      <c r="B420" s="134" t="s">
        <v>147</v>
      </c>
      <c r="C420" s="3">
        <v>855500</v>
      </c>
      <c r="D420" s="138">
        <v>0</v>
      </c>
      <c r="E420" s="138">
        <v>0</v>
      </c>
    </row>
    <row r="421" ht="15.75" spans="2:6">
      <c r="B421" s="134" t="s">
        <v>148</v>
      </c>
      <c r="C421" s="138">
        <v>0</v>
      </c>
      <c r="D421" s="138">
        <v>0</v>
      </c>
      <c r="E421" s="138">
        <v>0</v>
      </c>
      <c r="F421" s="138">
        <v>0</v>
      </c>
    </row>
    <row r="424" ht="15.75"/>
    <row r="425" ht="36" customHeight="1" spans="2:6">
      <c r="B425" s="149" t="s">
        <v>187</v>
      </c>
      <c r="C425" s="150"/>
      <c r="D425" s="150"/>
      <c r="E425" s="151"/>
      <c r="F425" s="152"/>
    </row>
    <row r="426" ht="36.75" spans="2:6">
      <c r="B426" s="134"/>
      <c r="C426" s="134" t="s">
        <v>143</v>
      </c>
      <c r="D426" s="134" t="s">
        <v>144</v>
      </c>
      <c r="E426" s="134" t="s">
        <v>145</v>
      </c>
      <c r="F426" s="134" t="s">
        <v>14</v>
      </c>
    </row>
    <row r="427" ht="15.75" spans="2:6">
      <c r="B427" s="134" t="s">
        <v>146</v>
      </c>
      <c r="C427" s="3">
        <v>3820000</v>
      </c>
      <c r="D427" s="138">
        <v>0</v>
      </c>
      <c r="E427" s="138">
        <v>0</v>
      </c>
      <c r="F427" s="3">
        <v>3820000</v>
      </c>
    </row>
    <row r="428" ht="15.75" spans="2:6">
      <c r="B428" s="134" t="s">
        <v>147</v>
      </c>
      <c r="C428" s="3">
        <v>3820000</v>
      </c>
      <c r="D428" s="138">
        <v>0</v>
      </c>
      <c r="E428" s="138">
        <v>0</v>
      </c>
    </row>
    <row r="429" ht="15.75" spans="2:6">
      <c r="B429" s="134" t="s">
        <v>148</v>
      </c>
      <c r="C429" s="138">
        <v>0</v>
      </c>
      <c r="D429" s="138">
        <v>0</v>
      </c>
      <c r="E429" s="138">
        <v>0</v>
      </c>
      <c r="F429" s="138">
        <v>0</v>
      </c>
    </row>
    <row r="433" ht="15.75" spans="2:6">
      <c r="B433" s="152"/>
      <c r="C433" s="152"/>
      <c r="D433" s="152"/>
      <c r="E433" s="152"/>
      <c r="F433" s="152"/>
    </row>
    <row r="434" ht="36" customHeight="1" spans="2:6">
      <c r="B434" s="149" t="s">
        <v>188</v>
      </c>
      <c r="C434" s="150"/>
      <c r="D434" s="150"/>
      <c r="E434" s="151"/>
      <c r="F434" s="152"/>
    </row>
    <row r="435" ht="36.75" spans="2:6">
      <c r="B435" s="134"/>
      <c r="C435" s="134" t="s">
        <v>143</v>
      </c>
      <c r="D435" s="134" t="s">
        <v>144</v>
      </c>
      <c r="E435" s="134" t="s">
        <v>145</v>
      </c>
      <c r="F435" s="134" t="s">
        <v>14</v>
      </c>
    </row>
    <row r="436" ht="15.75" spans="2:6">
      <c r="B436" s="134" t="s">
        <v>146</v>
      </c>
      <c r="C436" s="3">
        <v>23648.96</v>
      </c>
      <c r="D436" s="138">
        <v>0</v>
      </c>
      <c r="E436" s="138">
        <v>0</v>
      </c>
      <c r="F436" s="3">
        <v>23648.96</v>
      </c>
    </row>
    <row r="437" ht="15.75" spans="2:6">
      <c r="B437" s="134" t="s">
        <v>147</v>
      </c>
      <c r="C437" s="3">
        <v>23648.96</v>
      </c>
      <c r="D437" s="138">
        <v>0</v>
      </c>
      <c r="E437" s="138">
        <v>0</v>
      </c>
    </row>
    <row r="438" ht="15.75" spans="2:6">
      <c r="B438" s="134" t="s">
        <v>148</v>
      </c>
      <c r="C438" s="138">
        <v>0</v>
      </c>
      <c r="D438" s="138">
        <v>0</v>
      </c>
      <c r="E438" s="138">
        <v>0</v>
      </c>
      <c r="F438" s="138"/>
    </row>
  </sheetData>
  <mergeCells count="98">
    <mergeCell ref="B7:F7"/>
    <mergeCell ref="C8:F8"/>
    <mergeCell ref="C13:F13"/>
    <mergeCell ref="C18:F18"/>
    <mergeCell ref="B26:E26"/>
    <mergeCell ref="C31:F31"/>
    <mergeCell ref="B41:E41"/>
    <mergeCell ref="B48:E48"/>
    <mergeCell ref="B56:E56"/>
    <mergeCell ref="C61:F61"/>
    <mergeCell ref="B69:E69"/>
    <mergeCell ref="B74:F74"/>
    <mergeCell ref="B78:E78"/>
    <mergeCell ref="B86:E86"/>
    <mergeCell ref="B93:E93"/>
    <mergeCell ref="B99:E99"/>
    <mergeCell ref="B105:E105"/>
    <mergeCell ref="B111:E111"/>
    <mergeCell ref="B118:E118"/>
    <mergeCell ref="B126:E126"/>
    <mergeCell ref="B133:E133"/>
    <mergeCell ref="B140:E140"/>
    <mergeCell ref="B146:E146"/>
    <mergeCell ref="B156:E156"/>
    <mergeCell ref="B165:E165"/>
    <mergeCell ref="B173:E173"/>
    <mergeCell ref="B180:E180"/>
    <mergeCell ref="B187:E187"/>
    <mergeCell ref="B194:E194"/>
    <mergeCell ref="B201:E201"/>
    <mergeCell ref="B207:E207"/>
    <mergeCell ref="B213:E213"/>
    <mergeCell ref="B221:E221"/>
    <mergeCell ref="B227:E227"/>
    <mergeCell ref="C232:F232"/>
    <mergeCell ref="C237:F237"/>
    <mergeCell ref="B244:E244"/>
    <mergeCell ref="B250:E250"/>
    <mergeCell ref="B256:E256"/>
    <mergeCell ref="B263:E263"/>
    <mergeCell ref="B270:E270"/>
    <mergeCell ref="B277:E277"/>
    <mergeCell ref="B284:E284"/>
    <mergeCell ref="B292:E292"/>
    <mergeCell ref="B300:E300"/>
    <mergeCell ref="B307:E307"/>
    <mergeCell ref="B313:E313"/>
    <mergeCell ref="B320:E320"/>
    <mergeCell ref="B326:E326"/>
    <mergeCell ref="B333:E333"/>
    <mergeCell ref="B340:E340"/>
    <mergeCell ref="B347:E347"/>
    <mergeCell ref="B354:E354"/>
    <mergeCell ref="B360:E360"/>
    <mergeCell ref="B367:E367"/>
    <mergeCell ref="B374:E374"/>
    <mergeCell ref="B382:E382"/>
    <mergeCell ref="C387:F387"/>
    <mergeCell ref="B392:I392"/>
    <mergeCell ref="B395:E395"/>
    <mergeCell ref="B402:E402"/>
    <mergeCell ref="B409:E409"/>
    <mergeCell ref="B417:E417"/>
    <mergeCell ref="B425:E425"/>
    <mergeCell ref="B434:E434"/>
    <mergeCell ref="G8:G12"/>
    <mergeCell ref="G13:G17"/>
    <mergeCell ref="G26:G30"/>
    <mergeCell ref="G56:G60"/>
    <mergeCell ref="G69:G73"/>
    <mergeCell ref="G118:G122"/>
    <mergeCell ref="G146:G150"/>
    <mergeCell ref="G165:G169"/>
    <mergeCell ref="G180:G184"/>
    <mergeCell ref="G227:G231"/>
    <mergeCell ref="G232:G236"/>
    <mergeCell ref="G256:G260"/>
    <mergeCell ref="G270:G274"/>
    <mergeCell ref="G277:G281"/>
    <mergeCell ref="G333:G337"/>
    <mergeCell ref="G340:G344"/>
    <mergeCell ref="G382:G386"/>
    <mergeCell ref="H8:H12"/>
    <mergeCell ref="H13:H17"/>
    <mergeCell ref="H26:H30"/>
    <mergeCell ref="H56:H60"/>
    <mergeCell ref="H69:H73"/>
    <mergeCell ref="H227:H231"/>
    <mergeCell ref="H232:H236"/>
    <mergeCell ref="H382:H386"/>
    <mergeCell ref="I8:I12"/>
    <mergeCell ref="I13:I17"/>
    <mergeCell ref="I26:I30"/>
    <mergeCell ref="I56:I60"/>
    <mergeCell ref="I69:I73"/>
    <mergeCell ref="I227:I231"/>
    <mergeCell ref="I232:I236"/>
    <mergeCell ref="I382:I38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G82"/>
  <sheetViews>
    <sheetView workbookViewId="0">
      <selection activeCell="D2" sqref="D2:F79"/>
    </sheetView>
  </sheetViews>
  <sheetFormatPr defaultColWidth="11" defaultRowHeight="15" outlineLevelCol="6"/>
  <cols>
    <col min="1" max="1" width="6.28571428571429" customWidth="1"/>
    <col min="2" max="2" width="4.28571428571429" customWidth="1"/>
    <col min="3" max="3" width="6.28571428571429" customWidth="1"/>
    <col min="5" max="5" width="14.1428571428571" customWidth="1"/>
    <col min="7" max="7" width="17.7142857142857" customWidth="1"/>
  </cols>
  <sheetData>
    <row r="1" ht="15.75"/>
    <row r="2" ht="15.75" spans="4:7">
      <c r="D2" t="s">
        <v>189</v>
      </c>
      <c r="E2" s="1">
        <v>229982</v>
      </c>
      <c r="F2" t="s">
        <v>190</v>
      </c>
      <c r="G2" s="9">
        <f>+E2</f>
        <v>229982</v>
      </c>
    </row>
    <row r="3" ht="15.75" spans="4:7">
      <c r="E3" s="1"/>
    </row>
    <row r="4" ht="15.75" spans="4:7">
      <c r="D4" t="s">
        <v>191</v>
      </c>
      <c r="E4" s="1">
        <v>118397.42</v>
      </c>
      <c r="F4" t="s">
        <v>192</v>
      </c>
    </row>
    <row r="5" ht="15.75" spans="4:7">
      <c r="D5" t="s">
        <v>191</v>
      </c>
      <c r="E5" s="2">
        <v>134520</v>
      </c>
      <c r="F5" t="s">
        <v>192</v>
      </c>
    </row>
    <row r="6" ht="15.75" spans="4:7">
      <c r="G6" s="2">
        <f>SUM(E4:E5)</f>
        <v>252917.42</v>
      </c>
    </row>
    <row r="7" ht="15.75" spans="4:7">
      <c r="D7" t="s">
        <v>193</v>
      </c>
      <c r="E7" s="1">
        <v>143582.4</v>
      </c>
      <c r="F7" t="s">
        <v>194</v>
      </c>
      <c r="G7" s="9">
        <f>+E7</f>
        <v>143582.4</v>
      </c>
    </row>
    <row r="8" ht="15.75" spans="4:7">
      <c r="E8" s="1"/>
    </row>
    <row r="9" ht="15.75" spans="4:7">
      <c r="D9" t="s">
        <v>195</v>
      </c>
      <c r="E9" s="1">
        <v>248000.09</v>
      </c>
      <c r="F9" t="s">
        <v>196</v>
      </c>
    </row>
    <row r="10" ht="15.75" spans="4:7">
      <c r="D10" t="s">
        <v>197</v>
      </c>
      <c r="E10" s="3">
        <v>17539.57</v>
      </c>
      <c r="F10" t="s">
        <v>196</v>
      </c>
    </row>
    <row r="11" ht="15.75" spans="4:7">
      <c r="D11" t="s">
        <v>198</v>
      </c>
      <c r="E11" s="3">
        <v>380432.94</v>
      </c>
      <c r="F11" t="s">
        <v>196</v>
      </c>
    </row>
    <row r="12" ht="15.75" spans="4:7">
      <c r="D12" t="s">
        <v>197</v>
      </c>
      <c r="E12" s="1">
        <v>47300.28</v>
      </c>
      <c r="F12" t="s">
        <v>196</v>
      </c>
    </row>
    <row r="13" ht="15.75" spans="4:7">
      <c r="D13" t="s">
        <v>197</v>
      </c>
      <c r="E13" s="2">
        <v>73691</v>
      </c>
      <c r="F13" t="s">
        <v>196</v>
      </c>
    </row>
    <row r="14" ht="15.75" spans="4:7">
      <c r="D14" t="s">
        <v>197</v>
      </c>
      <c r="E14" s="2">
        <v>299000.2</v>
      </c>
      <c r="F14" t="s">
        <v>196</v>
      </c>
    </row>
    <row r="15" ht="15.75" spans="4:7">
      <c r="D15" t="s">
        <v>197</v>
      </c>
      <c r="E15" s="4">
        <v>10795.74</v>
      </c>
      <c r="F15" t="s">
        <v>196</v>
      </c>
    </row>
    <row r="16" ht="15.75" spans="4:7">
      <c r="D16" t="s">
        <v>197</v>
      </c>
      <c r="E16" s="4">
        <v>57679</v>
      </c>
      <c r="F16" t="s">
        <v>196</v>
      </c>
    </row>
    <row r="17" ht="15.75" spans="4:7">
      <c r="G17" s="4">
        <f>SUM(E9:E16)</f>
        <v>1134438.82</v>
      </c>
    </row>
    <row r="18" ht="15.75" spans="4:7">
      <c r="D18" t="s">
        <v>199</v>
      </c>
      <c r="E18" s="3">
        <v>580635</v>
      </c>
      <c r="F18" t="s">
        <v>200</v>
      </c>
    </row>
    <row r="19" ht="15.75" spans="4:7">
      <c r="D19" t="s">
        <v>201</v>
      </c>
      <c r="E19" s="3">
        <v>180000</v>
      </c>
      <c r="F19" t="s">
        <v>200</v>
      </c>
    </row>
    <row r="20" ht="15.75" spans="4:7">
      <c r="D20" t="s">
        <v>202</v>
      </c>
      <c r="E20" s="3">
        <v>18370</v>
      </c>
      <c r="F20" t="s">
        <v>200</v>
      </c>
    </row>
    <row r="21" ht="15.75" spans="4:7">
      <c r="D21" t="s">
        <v>203</v>
      </c>
      <c r="E21" s="3">
        <v>180000</v>
      </c>
      <c r="F21" t="s">
        <v>200</v>
      </c>
    </row>
    <row r="22" ht="15.75" spans="4:7">
      <c r="D22" t="s">
        <v>204</v>
      </c>
      <c r="E22" s="1">
        <v>239989</v>
      </c>
      <c r="F22" t="s">
        <v>200</v>
      </c>
    </row>
    <row r="23" ht="15.75" spans="4:7">
      <c r="D23" t="s">
        <v>199</v>
      </c>
      <c r="E23" s="3">
        <v>422364.99</v>
      </c>
      <c r="F23" t="s">
        <v>200</v>
      </c>
    </row>
    <row r="24" ht="15.75" spans="4:7">
      <c r="D24" t="s">
        <v>205</v>
      </c>
      <c r="E24" s="4">
        <v>93758.46</v>
      </c>
      <c r="F24" t="s">
        <v>200</v>
      </c>
    </row>
    <row r="25" ht="15.75" spans="4:7">
      <c r="D25" t="s">
        <v>199</v>
      </c>
      <c r="E25" s="4">
        <v>250000</v>
      </c>
      <c r="F25" t="s">
        <v>200</v>
      </c>
    </row>
    <row r="26" ht="15.75" spans="4:7">
      <c r="D26" t="s">
        <v>199</v>
      </c>
      <c r="E26" s="2">
        <v>699740</v>
      </c>
      <c r="F26" t="s">
        <v>200</v>
      </c>
    </row>
    <row r="27" ht="15.75" spans="4:7">
      <c r="G27" s="5">
        <f>SUM(E18:E26)</f>
        <v>2664857.45</v>
      </c>
    </row>
    <row r="28" ht="15.75" spans="4:7">
      <c r="D28" t="s">
        <v>206</v>
      </c>
      <c r="E28" s="3">
        <v>454756.11</v>
      </c>
      <c r="F28" t="s">
        <v>207</v>
      </c>
    </row>
    <row r="29" ht="15.75" spans="4:7">
      <c r="D29" t="s">
        <v>206</v>
      </c>
      <c r="E29" s="1">
        <v>5270379.69</v>
      </c>
      <c r="F29" t="s">
        <v>207</v>
      </c>
    </row>
    <row r="30" ht="15.75" spans="4:7">
      <c r="D30" t="s">
        <v>208</v>
      </c>
      <c r="E30" s="3">
        <v>61478</v>
      </c>
      <c r="F30" t="s">
        <v>207</v>
      </c>
    </row>
    <row r="31" ht="15.75" spans="4:7">
      <c r="D31" t="s">
        <v>206</v>
      </c>
      <c r="E31" s="1">
        <v>1384281.6</v>
      </c>
      <c r="F31" t="s">
        <v>207</v>
      </c>
    </row>
    <row r="32" ht="15.75" spans="4:7">
      <c r="D32" t="s">
        <v>209</v>
      </c>
      <c r="E32" s="4">
        <v>600000</v>
      </c>
      <c r="F32" t="s">
        <v>207</v>
      </c>
    </row>
    <row r="33" ht="15.75" spans="4:7">
      <c r="D33" t="s">
        <v>209</v>
      </c>
      <c r="E33" s="4">
        <v>166380</v>
      </c>
      <c r="F33" t="s">
        <v>207</v>
      </c>
    </row>
    <row r="34" ht="15.75" spans="4:7">
      <c r="D34" t="s">
        <v>208</v>
      </c>
      <c r="E34" s="4">
        <v>855500</v>
      </c>
      <c r="F34" t="s">
        <v>207</v>
      </c>
    </row>
    <row r="35" ht="15.75" spans="4:7">
      <c r="G35" s="4">
        <f>SUM(E28:E34)</f>
        <v>8792775.4</v>
      </c>
    </row>
    <row r="36" ht="15.75" spans="4:7">
      <c r="D36" t="s">
        <v>210</v>
      </c>
      <c r="E36" s="3">
        <v>1299941.3</v>
      </c>
      <c r="F36" t="s">
        <v>211</v>
      </c>
    </row>
    <row r="37" ht="15.75" spans="4:7">
      <c r="D37" t="s">
        <v>210</v>
      </c>
      <c r="E37" s="3">
        <v>23100</v>
      </c>
      <c r="F37" t="s">
        <v>211</v>
      </c>
    </row>
    <row r="38" ht="15.75" spans="4:7">
      <c r="D38" t="s">
        <v>210</v>
      </c>
      <c r="E38" s="4">
        <v>41250</v>
      </c>
      <c r="F38" t="s">
        <v>211</v>
      </c>
    </row>
    <row r="39" ht="15.75" spans="4:7">
      <c r="D39" t="s">
        <v>210</v>
      </c>
      <c r="E39" s="2">
        <v>123200</v>
      </c>
      <c r="F39" t="s">
        <v>211</v>
      </c>
    </row>
    <row r="40" ht="15.75" spans="4:7">
      <c r="D40" t="s">
        <v>212</v>
      </c>
      <c r="E40" s="2">
        <v>371706.02</v>
      </c>
      <c r="F40" t="s">
        <v>211</v>
      </c>
    </row>
    <row r="41" ht="15.75" spans="4:7">
      <c r="G41" s="2">
        <f>SUM(E36:E40)</f>
        <v>1859197.32</v>
      </c>
    </row>
    <row r="42" ht="15.75" spans="4:7">
      <c r="D42" t="s">
        <v>213</v>
      </c>
      <c r="E42" s="1">
        <v>2386432</v>
      </c>
      <c r="F42" t="s">
        <v>214</v>
      </c>
    </row>
    <row r="43" ht="15.75" spans="4:7">
      <c r="D43" t="s">
        <v>215</v>
      </c>
      <c r="E43" s="4">
        <v>233640</v>
      </c>
      <c r="F43" t="s">
        <v>214</v>
      </c>
    </row>
    <row r="44" ht="15.75" spans="4:7">
      <c r="G44" s="4">
        <f>SUM(E42:E43)</f>
        <v>2620072</v>
      </c>
    </row>
    <row r="45" ht="15.75" spans="4:7">
      <c r="D45" t="s">
        <v>216</v>
      </c>
      <c r="E45" s="3">
        <v>498550</v>
      </c>
      <c r="F45" t="s">
        <v>217</v>
      </c>
      <c r="G45" s="9">
        <f>+E45</f>
        <v>498550</v>
      </c>
    </row>
    <row r="46" ht="15.75" spans="4:7">
      <c r="E46" s="6"/>
    </row>
    <row r="47" ht="15.75" spans="4:7">
      <c r="D47" t="s">
        <v>218</v>
      </c>
      <c r="E47" s="2">
        <v>94832.91</v>
      </c>
      <c r="F47" t="s">
        <v>219</v>
      </c>
      <c r="G47" s="91">
        <f>+E47</f>
        <v>94832.91</v>
      </c>
    </row>
    <row r="48" ht="15.75" spans="4:7">
      <c r="E48" s="5"/>
    </row>
    <row r="49" ht="15.75" spans="4:7">
      <c r="D49" t="s">
        <v>220</v>
      </c>
      <c r="E49" s="4">
        <v>97068.64</v>
      </c>
      <c r="F49" t="s">
        <v>221</v>
      </c>
    </row>
    <row r="50" ht="15.75" spans="4:7">
      <c r="D50" t="s">
        <v>222</v>
      </c>
      <c r="E50" s="4">
        <v>23648.96</v>
      </c>
      <c r="F50" t="s">
        <v>221</v>
      </c>
    </row>
    <row r="51" ht="15.75" spans="4:7">
      <c r="G51" s="5">
        <f>SUM(E49:E50)</f>
        <v>120717.6</v>
      </c>
    </row>
    <row r="52" ht="15.75" spans="4:7">
      <c r="D52" t="s">
        <v>223</v>
      </c>
      <c r="E52" s="1">
        <v>1268140.1</v>
      </c>
      <c r="F52" t="s">
        <v>224</v>
      </c>
    </row>
    <row r="53" ht="15.75" spans="4:7">
      <c r="D53" t="s">
        <v>225</v>
      </c>
      <c r="E53" s="3">
        <v>363676</v>
      </c>
      <c r="F53" t="s">
        <v>224</v>
      </c>
    </row>
    <row r="54" ht="15.75" spans="4:7">
      <c r="D54" t="s">
        <v>226</v>
      </c>
      <c r="E54" s="3">
        <v>117823</v>
      </c>
      <c r="F54" t="s">
        <v>224</v>
      </c>
    </row>
    <row r="55" ht="15.75" spans="4:7">
      <c r="D55" t="s">
        <v>227</v>
      </c>
      <c r="E55" s="3">
        <v>35754</v>
      </c>
      <c r="F55" t="s">
        <v>224</v>
      </c>
    </row>
    <row r="56" ht="15.75" spans="4:7">
      <c r="D56" t="s">
        <v>228</v>
      </c>
      <c r="E56" s="3">
        <v>867258.7</v>
      </c>
      <c r="F56" t="s">
        <v>224</v>
      </c>
    </row>
    <row r="57" ht="15.75" spans="4:7">
      <c r="D57" t="s">
        <v>223</v>
      </c>
      <c r="E57" s="3">
        <v>702268.03</v>
      </c>
      <c r="F57" t="s">
        <v>224</v>
      </c>
    </row>
    <row r="58" ht="15.75" spans="4:7">
      <c r="D58" t="s">
        <v>229</v>
      </c>
      <c r="E58" s="3">
        <v>243080</v>
      </c>
      <c r="F58" t="s">
        <v>224</v>
      </c>
    </row>
    <row r="59" ht="15.75" spans="4:7">
      <c r="D59" t="s">
        <v>230</v>
      </c>
      <c r="E59" s="3">
        <v>91332</v>
      </c>
      <c r="F59" t="s">
        <v>224</v>
      </c>
    </row>
    <row r="60" ht="15.75" spans="4:7">
      <c r="D60" t="s">
        <v>231</v>
      </c>
      <c r="E60" s="7">
        <v>672.6</v>
      </c>
      <c r="F60" t="s">
        <v>224</v>
      </c>
    </row>
    <row r="61" ht="15.75" spans="4:7">
      <c r="D61" t="s">
        <v>227</v>
      </c>
      <c r="E61" s="1">
        <v>872093.67</v>
      </c>
      <c r="F61" t="s">
        <v>224</v>
      </c>
    </row>
    <row r="62" ht="15.75" spans="4:7">
      <c r="D62" t="s">
        <v>227</v>
      </c>
      <c r="E62" s="3">
        <v>1151938.21</v>
      </c>
      <c r="F62" t="s">
        <v>224</v>
      </c>
    </row>
    <row r="63" ht="15.75" spans="4:7">
      <c r="D63" t="s">
        <v>223</v>
      </c>
      <c r="E63" s="3">
        <v>25315.65</v>
      </c>
      <c r="F63" t="s">
        <v>224</v>
      </c>
    </row>
    <row r="64" ht="15.75" spans="4:7">
      <c r="D64" t="s">
        <v>227</v>
      </c>
      <c r="E64" s="4">
        <v>247800</v>
      </c>
      <c r="F64" t="s">
        <v>224</v>
      </c>
    </row>
    <row r="65" ht="15.75" spans="4:7">
      <c r="D65" t="s">
        <v>227</v>
      </c>
      <c r="E65" s="4">
        <v>5631815.5</v>
      </c>
      <c r="F65" t="s">
        <v>224</v>
      </c>
    </row>
    <row r="66" ht="15.75" spans="4:7">
      <c r="D66" t="s">
        <v>227</v>
      </c>
      <c r="E66" s="4">
        <v>7080</v>
      </c>
      <c r="F66" t="s">
        <v>224</v>
      </c>
    </row>
    <row r="67" ht="15.75" spans="4:7">
      <c r="D67" t="s">
        <v>227</v>
      </c>
      <c r="E67" s="2">
        <v>20254.7</v>
      </c>
      <c r="F67" t="s">
        <v>224</v>
      </c>
    </row>
    <row r="68" ht="15.75" spans="4:7">
      <c r="G68" s="2">
        <f>SUM(E52:E67)</f>
        <v>11646302.16</v>
      </c>
    </row>
    <row r="69" ht="15.75" spans="4:7">
      <c r="D69" t="s">
        <v>232</v>
      </c>
      <c r="E69" s="1">
        <v>1383560.15</v>
      </c>
      <c r="F69" t="s">
        <v>233</v>
      </c>
    </row>
    <row r="70" ht="15.75" spans="4:7">
      <c r="D70" t="s">
        <v>234</v>
      </c>
      <c r="E70" s="3">
        <v>204066.85</v>
      </c>
      <c r="F70" t="s">
        <v>233</v>
      </c>
    </row>
    <row r="71" ht="15.75" spans="4:7">
      <c r="D71" t="s">
        <v>235</v>
      </c>
      <c r="E71" s="3">
        <v>84983.6</v>
      </c>
      <c r="F71" t="s">
        <v>233</v>
      </c>
    </row>
    <row r="72" ht="15.75" spans="4:7">
      <c r="D72" t="s">
        <v>236</v>
      </c>
      <c r="E72" s="4">
        <v>1649640</v>
      </c>
      <c r="F72" t="s">
        <v>233</v>
      </c>
    </row>
    <row r="73" ht="15.75" spans="4:7">
      <c r="D73" t="s">
        <v>235</v>
      </c>
      <c r="E73" s="4">
        <v>2124000</v>
      </c>
      <c r="F73" t="s">
        <v>233</v>
      </c>
    </row>
    <row r="74" ht="15.75" spans="4:7">
      <c r="G74" s="4">
        <f>SUM(E69:E73)</f>
        <v>5446250.6</v>
      </c>
    </row>
    <row r="75" ht="15.75" spans="4:7">
      <c r="D75" t="s">
        <v>237</v>
      </c>
      <c r="E75" s="4">
        <v>5596150</v>
      </c>
      <c r="F75" t="s">
        <v>238</v>
      </c>
      <c r="G75" s="91">
        <f>+E75</f>
        <v>5596150</v>
      </c>
    </row>
    <row r="76" ht="15.75" spans="4:7">
      <c r="E76" s="4"/>
    </row>
    <row r="77" ht="15.75" spans="4:7">
      <c r="D77" t="s">
        <v>239</v>
      </c>
      <c r="E77" s="4">
        <v>3820000</v>
      </c>
      <c r="F77" t="s">
        <v>240</v>
      </c>
      <c r="G77" s="91">
        <f>+E77</f>
        <v>3820000</v>
      </c>
    </row>
    <row r="78" spans="4:7">
      <c r="E78" s="8"/>
    </row>
    <row r="79" spans="4:7">
      <c r="E79" s="8">
        <f>SUM(E2:E78)</f>
        <v>44920626.08</v>
      </c>
      <c r="G79" s="91"/>
    </row>
    <row r="80" spans="4:7">
      <c r="E80" s="8"/>
    </row>
    <row r="81" spans="5:5">
      <c r="E81" s="8"/>
    </row>
    <row r="82" spans="5:5">
      <c r="E82" s="8"/>
    </row>
  </sheetData>
  <sortState ref="D2:F77">
    <sortCondition ref="F2:F77"/>
  </sortState>
  <pageMargins left="0.7" right="0.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03"/>
  <sheetViews>
    <sheetView view="pageBreakPreview" zoomScaleNormal="100" topLeftCell="B2" workbookViewId="0">
      <selection activeCell="B15" sqref="B15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27.7142857142857" customWidth="1"/>
    <col min="4" max="4" width="24" customWidth="1"/>
    <col min="5" max="5" width="19.8571428571429" hidden="1" customWidth="1"/>
    <col min="6" max="6" width="17" hidden="1" customWidth="1"/>
    <col min="7" max="7" width="20.1428571428571" hidden="1" customWidth="1"/>
    <col min="8" max="8" width="21" hidden="1" customWidth="1"/>
    <col min="9" max="9" width="18.8571428571429" hidden="1" customWidth="1"/>
    <col min="10" max="10" width="17.2857142857143" hidden="1" customWidth="1"/>
    <col min="11" max="11" width="16" hidden="1" customWidth="1"/>
    <col min="12" max="12" width="21.2857142857143" hidden="1" customWidth="1"/>
    <col min="13" max="13" width="20.4285714285714" hidden="1" customWidth="1"/>
    <col min="14" max="14" width="18.7142857142857" hidden="1" customWidth="1"/>
    <col min="15" max="15" width="17.8571428571429" hidden="1" customWidth="1"/>
    <col min="16" max="16" width="19.4285714285714" hidden="1" customWidth="1"/>
    <col min="17" max="17" width="20.2857142857143" hidden="1" customWidth="1"/>
    <col min="18" max="19" width="22.4285714285714" hidden="1" customWidth="1"/>
    <col min="20" max="20" width="23.5714285714286" hidden="1" customWidth="1"/>
    <col min="21" max="21" width="22.8571428571429" hidden="1" customWidth="1"/>
    <col min="22" max="22" width="22.7142857142857" hidden="1" customWidth="1"/>
    <col min="23" max="28" width="24" hidden="1" customWidth="1"/>
    <col min="29" max="29" width="26.7142857142857" customWidth="1"/>
  </cols>
  <sheetData>
    <row r="1" ht="28.5" customHeight="1" spans="2:29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ht="21" customHeight="1" spans="2:29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18.75" customHeight="1" spans="2:29">
      <c r="B3" s="17">
        <v>2025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ht="15.75" customHeight="1" spans="2:29">
      <c r="B4" s="89" t="s">
        <v>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</row>
    <row r="5" ht="15.75" customHeight="1" spans="2:29"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2:29">
      <c r="Y6" s="91"/>
      <c r="Z6" s="91"/>
      <c r="AA6" s="91"/>
      <c r="AB6" s="91"/>
    </row>
    <row r="7" customHeight="1" spans="2:29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117" t="s">
        <v>113</v>
      </c>
      <c r="S7" s="118"/>
      <c r="T7" s="118"/>
      <c r="U7" s="92"/>
      <c r="V7" s="92"/>
      <c r="W7" s="92"/>
      <c r="X7" s="92"/>
      <c r="Y7" s="92"/>
      <c r="Z7" s="92"/>
      <c r="AA7" s="92"/>
      <c r="AB7" s="92"/>
      <c r="AC7" s="93"/>
    </row>
    <row r="8" ht="30" customHeight="1" spans="2:29">
      <c r="B8" s="94"/>
      <c r="C8" s="95"/>
      <c r="D8" s="95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  <c r="R8" s="96" t="s">
        <v>114</v>
      </c>
      <c r="S8" s="96" t="s">
        <v>9</v>
      </c>
      <c r="T8" s="96" t="s">
        <v>10</v>
      </c>
      <c r="U8" s="96" t="s">
        <v>11</v>
      </c>
      <c r="V8" s="96" t="s">
        <v>12</v>
      </c>
      <c r="W8" s="96" t="s">
        <v>13</v>
      </c>
      <c r="X8" s="96" t="s">
        <v>115</v>
      </c>
      <c r="Y8" s="96" t="s">
        <v>134</v>
      </c>
      <c r="Z8" s="96" t="s">
        <v>117</v>
      </c>
      <c r="AA8" s="96" t="s">
        <v>118</v>
      </c>
      <c r="AB8" s="96" t="s">
        <v>135</v>
      </c>
      <c r="AC8" s="96" t="s">
        <v>121</v>
      </c>
    </row>
    <row r="9" s="10" customFormat="1" ht="35.1" customHeight="1" spans="2:29">
      <c r="B9" s="97" t="s">
        <v>15</v>
      </c>
      <c r="C9" s="98">
        <f>+C10+C16+C26+C36+C44+C52+C62+C67+C70</f>
        <v>2403578297</v>
      </c>
      <c r="D9" s="98">
        <f>+D10+D16+D26+D36+D44+D52+D62+D67+D70</f>
        <v>-1607869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>
        <f>+E9+F9+G9+H9+I9+J9+K9+L9+M9+N9+O9+P9</f>
        <v>0</v>
      </c>
      <c r="R9" s="98">
        <f t="shared" ref="R9:AB9" si="0">+R10+R16+R26+R36+R44+R52+R62+R67+R70</f>
        <v>59347772.68</v>
      </c>
      <c r="S9" s="98">
        <f t="shared" si="0"/>
        <v>71310108.34</v>
      </c>
      <c r="T9" s="98">
        <f t="shared" si="0"/>
        <v>325941464.73</v>
      </c>
      <c r="U9" s="98">
        <f t="shared" si="0"/>
        <v>322059301.45</v>
      </c>
      <c r="V9" s="98">
        <f t="shared" si="0"/>
        <v>117510627.82</v>
      </c>
      <c r="W9" s="98">
        <f t="shared" si="0"/>
        <v>85522503.05</v>
      </c>
      <c r="X9" s="98">
        <f t="shared" si="0"/>
        <v>82936856.97</v>
      </c>
      <c r="Y9" s="98">
        <f t="shared" si="0"/>
        <v>82512694.84</v>
      </c>
      <c r="Z9" s="98">
        <f t="shared" si="0"/>
        <v>171276133.12</v>
      </c>
      <c r="AA9" s="98">
        <f t="shared" si="0"/>
        <v>117304213.67</v>
      </c>
      <c r="AB9" s="98">
        <f t="shared" si="0"/>
        <v>166995587.19</v>
      </c>
      <c r="AC9" s="98">
        <f>+U9+R9+S9+T9+W9+V9+Y9+X9+AB9+Z9+AA9</f>
        <v>1602717263.86</v>
      </c>
    </row>
    <row r="10" s="10" customFormat="1" ht="35.1" customHeight="1" spans="2:29">
      <c r="B10" s="97" t="s">
        <v>16</v>
      </c>
      <c r="C10" s="99">
        <f>SUM(C11:C15)</f>
        <v>754531197</v>
      </c>
      <c r="D10" s="99">
        <f>SUM(D11:D15)</f>
        <v>55761490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6"/>
      <c r="Q10" s="35">
        <f>SUM(Q11:Q15)</f>
        <v>0</v>
      </c>
      <c r="R10" s="99">
        <f>+R11+R12+R15</f>
        <v>48481923.18</v>
      </c>
      <c r="S10" s="99">
        <f t="shared" ref="S10:Y10" si="1">+S11+S12+S15+S13</f>
        <v>49982211.83</v>
      </c>
      <c r="T10" s="99">
        <f t="shared" si="1"/>
        <v>55159103.66</v>
      </c>
      <c r="U10" s="99">
        <f t="shared" si="1"/>
        <v>50437544.05</v>
      </c>
      <c r="V10" s="99">
        <f t="shared" si="1"/>
        <v>88953437.75</v>
      </c>
      <c r="W10" s="99">
        <f t="shared" si="1"/>
        <v>53961166.64</v>
      </c>
      <c r="X10" s="99">
        <f t="shared" si="1"/>
        <v>53331098.37</v>
      </c>
      <c r="Y10" s="99">
        <f t="shared" si="1"/>
        <v>53433179.88</v>
      </c>
      <c r="Z10" s="99">
        <f>+Z11+Z12+Z15+Z13+Z14</f>
        <v>64767903.77</v>
      </c>
      <c r="AA10" s="99">
        <f>+AA11+AA12+AA15+AA13+AA14</f>
        <v>102243011.41</v>
      </c>
      <c r="AB10" s="99">
        <f>+AB11+AB12+AB15+AB13+AB14</f>
        <v>97903925.47</v>
      </c>
      <c r="AC10" s="99">
        <f>SUM(AC11:AC15)</f>
        <v>718654506.01</v>
      </c>
    </row>
    <row r="11" s="10" customFormat="1" ht="35.1" customHeight="1" spans="2:29">
      <c r="B11" s="100" t="s">
        <v>17</v>
      </c>
      <c r="C11" s="101">
        <v>576509282</v>
      </c>
      <c r="D11" s="119">
        <v>-4437624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39"/>
      <c r="P11" s="39"/>
      <c r="Q11" s="41">
        <f>+E11+F11+G11+H11+I11+J11+K11+L11+M11+N11+O11+P11</f>
        <v>0</v>
      </c>
      <c r="R11" s="101">
        <v>39048947.87</v>
      </c>
      <c r="S11" s="101">
        <v>40322256.66</v>
      </c>
      <c r="T11" s="101">
        <v>44731360.13</v>
      </c>
      <c r="U11" s="101">
        <v>40732516.87</v>
      </c>
      <c r="V11" s="101">
        <v>45136055.92</v>
      </c>
      <c r="W11" s="101">
        <v>43845709.61</v>
      </c>
      <c r="X11" s="101">
        <v>42495684.45</v>
      </c>
      <c r="Y11" s="101">
        <v>43358645.08</v>
      </c>
      <c r="Z11" s="101">
        <v>44506635.82</v>
      </c>
      <c r="AA11" s="101">
        <v>47706046.07</v>
      </c>
      <c r="AB11" s="101">
        <v>87400287.64</v>
      </c>
      <c r="AC11" s="102">
        <f>+U11+R11+S11+T11+W11+V11+Y11+X11+AB11+Z11+AA11</f>
        <v>519284146.12</v>
      </c>
    </row>
    <row r="12" s="10" customFormat="1" ht="35.1" customHeight="1" spans="2:29">
      <c r="B12" s="100" t="s">
        <v>18</v>
      </c>
      <c r="C12" s="101">
        <v>104006853</v>
      </c>
      <c r="D12" s="119">
        <v>47456617.5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9"/>
      <c r="P12" s="39"/>
      <c r="Q12" s="41">
        <f>+E12+F12+G12+H12+I12+J12+K12+L12+M12+N12+O12+P12</f>
        <v>0</v>
      </c>
      <c r="R12" s="101">
        <v>3494000</v>
      </c>
      <c r="S12" s="101">
        <v>3509000</v>
      </c>
      <c r="T12" s="101">
        <v>4293227.75</v>
      </c>
      <c r="U12" s="101">
        <v>3506000</v>
      </c>
      <c r="V12" s="101">
        <v>37417494.44</v>
      </c>
      <c r="W12" s="101">
        <v>3686000</v>
      </c>
      <c r="X12" s="101">
        <v>4623887.05</v>
      </c>
      <c r="Y12" s="101">
        <v>3450520.35</v>
      </c>
      <c r="Z12" s="101">
        <v>3771000</v>
      </c>
      <c r="AA12" s="101">
        <v>48094100</v>
      </c>
      <c r="AB12" s="101">
        <v>3958596.37</v>
      </c>
      <c r="AC12" s="102">
        <f t="shared" ref="AC12:AC75" si="2">+U12+R12+S12+T12+W12+V12+Y12+X12+AB12+Z12+AA12</f>
        <v>119803825.96</v>
      </c>
    </row>
    <row r="13" s="10" customFormat="1" ht="35.1" customHeight="1" spans="2:29">
      <c r="B13" s="100" t="s">
        <v>19</v>
      </c>
      <c r="C13" s="101">
        <v>0</v>
      </c>
      <c r="D13" s="119">
        <v>468000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9"/>
      <c r="P13" s="39"/>
      <c r="Q13" s="41">
        <f>+E13+F13+G13+H13+I13+J13+K13+L13+M13+N13+O13</f>
        <v>0</v>
      </c>
      <c r="R13" s="101">
        <v>0</v>
      </c>
      <c r="S13" s="101">
        <v>33612.8</v>
      </c>
      <c r="T13" s="101">
        <v>54845.22</v>
      </c>
      <c r="U13" s="101">
        <v>0</v>
      </c>
      <c r="V13" s="101">
        <v>5120.99</v>
      </c>
      <c r="W13" s="101">
        <v>20983.76</v>
      </c>
      <c r="X13" s="101">
        <v>5164.81</v>
      </c>
      <c r="Y13" s="101">
        <v>0</v>
      </c>
      <c r="Z13" s="101">
        <v>40966.93</v>
      </c>
      <c r="AA13" s="101">
        <v>13376</v>
      </c>
      <c r="AB13" s="101">
        <v>0</v>
      </c>
      <c r="AC13" s="102">
        <f t="shared" si="2"/>
        <v>174070.51</v>
      </c>
    </row>
    <row r="14" s="10" customFormat="1" ht="35.1" customHeight="1" spans="2:29">
      <c r="B14" s="100" t="s">
        <v>20</v>
      </c>
      <c r="C14" s="101">
        <v>10000000</v>
      </c>
      <c r="D14" s="11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9"/>
      <c r="P14" s="39"/>
      <c r="Q14" s="41">
        <f>+E14+F14+G14+H14+I14+J14+K14+L14+M14+N14+O14</f>
        <v>0</v>
      </c>
      <c r="R14" s="101"/>
      <c r="S14" s="101"/>
      <c r="T14" s="101"/>
      <c r="U14" s="101"/>
      <c r="V14" s="101"/>
      <c r="W14" s="101"/>
      <c r="X14" s="101"/>
      <c r="Y14" s="101"/>
      <c r="Z14" s="101">
        <v>9958158</v>
      </c>
      <c r="AA14" s="101"/>
      <c r="AB14" s="101">
        <v>41841.03</v>
      </c>
      <c r="AC14" s="102">
        <f t="shared" si="2"/>
        <v>9999999.03</v>
      </c>
    </row>
    <row r="15" s="10" customFormat="1" ht="35.1" customHeight="1" spans="2:29">
      <c r="B15" s="100" t="s">
        <v>21</v>
      </c>
      <c r="C15" s="101">
        <v>64015062</v>
      </c>
      <c r="D15" s="119">
        <v>12274496.5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9"/>
      <c r="P15" s="39"/>
      <c r="Q15" s="41">
        <f>+E15+F15+G15+H15+I15+J15+K15+L15+M15+N15+O15+P15</f>
        <v>0</v>
      </c>
      <c r="R15" s="101">
        <v>5938975.31</v>
      </c>
      <c r="S15" s="101">
        <v>6117342.37</v>
      </c>
      <c r="T15" s="101">
        <v>6079670.56</v>
      </c>
      <c r="U15" s="101">
        <v>6199027.18</v>
      </c>
      <c r="V15" s="101">
        <v>6394766.4</v>
      </c>
      <c r="W15" s="101">
        <v>6408473.27</v>
      </c>
      <c r="X15" s="101">
        <v>6206362.06</v>
      </c>
      <c r="Y15" s="101">
        <v>6624014.45</v>
      </c>
      <c r="Z15" s="101">
        <v>6491143.02</v>
      </c>
      <c r="AA15" s="101">
        <v>6429489.34</v>
      </c>
      <c r="AB15" s="101">
        <v>6503200.43</v>
      </c>
      <c r="AC15" s="102">
        <f t="shared" si="2"/>
        <v>69392464.39</v>
      </c>
    </row>
    <row r="16" s="10" customFormat="1" ht="35.1" customHeight="1" spans="2:29">
      <c r="B16" s="97" t="s">
        <v>22</v>
      </c>
      <c r="C16" s="99">
        <f>SUM(C17:C25)</f>
        <v>1375962044</v>
      </c>
      <c r="D16" s="99">
        <f>SUM(D17:D25)</f>
        <v>-122265966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>
        <f>+Q17+Q18+Q19+Q20+Q21+Q22+Q23+Q24+Q25</f>
        <v>0</v>
      </c>
      <c r="R16" s="99">
        <f t="shared" ref="R16:Y16" si="3">SUM(R17:R25)</f>
        <v>6382203.16</v>
      </c>
      <c r="S16" s="99">
        <f t="shared" si="3"/>
        <v>15822013.58</v>
      </c>
      <c r="T16" s="99">
        <f t="shared" si="3"/>
        <v>263123579.58</v>
      </c>
      <c r="U16" s="99">
        <f t="shared" si="3"/>
        <v>253544296.14</v>
      </c>
      <c r="V16" s="99">
        <f t="shared" si="3"/>
        <v>23063800.88</v>
      </c>
      <c r="W16" s="99">
        <f t="shared" si="3"/>
        <v>22284446.31</v>
      </c>
      <c r="X16" s="99">
        <f t="shared" ref="X16" si="4">SUM(X17:X25)</f>
        <v>26067176.74</v>
      </c>
      <c r="Y16" s="99">
        <f t="shared" si="3"/>
        <v>21849208.51</v>
      </c>
      <c r="Z16" s="99">
        <f t="shared" ref="Z16:AB16" si="5">SUM(Z17:Z25)</f>
        <v>68289085.64</v>
      </c>
      <c r="AA16" s="99">
        <f t="shared" si="5"/>
        <v>4799093.39</v>
      </c>
      <c r="AB16" s="99">
        <f t="shared" si="5"/>
        <v>56919939.4</v>
      </c>
      <c r="AC16" s="103">
        <f>+AC17+AC18+AC19+AC20+AC21+AC22+AC23+AC24+AC25</f>
        <v>762144843.33</v>
      </c>
    </row>
    <row r="17" s="10" customFormat="1" ht="35.1" customHeight="1" spans="2:29">
      <c r="B17" s="100" t="s">
        <v>23</v>
      </c>
      <c r="C17" s="101">
        <v>88764349</v>
      </c>
      <c r="D17" s="119">
        <v>22105000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39"/>
      <c r="P17" s="39"/>
      <c r="Q17" s="41">
        <f t="shared" ref="Q17:Q83" si="6">+E17+F17+G17+H17+I17+J17+K17+L17+M17+N17+O17+P17</f>
        <v>0</v>
      </c>
      <c r="R17" s="101">
        <v>3231502.33</v>
      </c>
      <c r="S17" s="101">
        <v>3619225.9</v>
      </c>
      <c r="T17" s="101">
        <v>5246597.81</v>
      </c>
      <c r="U17" s="101">
        <v>4616336.68</v>
      </c>
      <c r="V17" s="101">
        <v>5333348.12</v>
      </c>
      <c r="W17" s="101">
        <v>4818595.75</v>
      </c>
      <c r="X17" s="101">
        <v>11027409.63</v>
      </c>
      <c r="Y17" s="101">
        <v>5699715.58</v>
      </c>
      <c r="Z17" s="101">
        <v>3193535.69</v>
      </c>
      <c r="AA17" s="101">
        <v>2973642.67</v>
      </c>
      <c r="AB17" s="101">
        <v>8504517.28</v>
      </c>
      <c r="AC17" s="102">
        <f t="shared" si="2"/>
        <v>58264427.44</v>
      </c>
    </row>
    <row r="18" s="10" customFormat="1" ht="35.1" customHeight="1" spans="2:29">
      <c r="B18" s="100" t="s">
        <v>24</v>
      </c>
      <c r="C18" s="101">
        <v>893080000</v>
      </c>
      <c r="D18" s="119">
        <v>-260219359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9"/>
      <c r="P18" s="39"/>
      <c r="Q18" s="41">
        <f t="shared" si="6"/>
        <v>0</v>
      </c>
      <c r="R18" s="101"/>
      <c r="S18" s="101">
        <v>120800</v>
      </c>
      <c r="T18" s="101">
        <v>242576006.25</v>
      </c>
      <c r="U18" s="101">
        <v>231013475.76</v>
      </c>
      <c r="V18" s="101">
        <v>1079220.05</v>
      </c>
      <c r="W18" s="101">
        <v>866666.65</v>
      </c>
      <c r="X18" s="101">
        <v>798303.4</v>
      </c>
      <c r="Y18" s="101">
        <v>11770.5</v>
      </c>
      <c r="Z18" s="101">
        <v>0</v>
      </c>
      <c r="AA18" s="101">
        <v>50000</v>
      </c>
      <c r="AB18" s="101">
        <v>7206187.09</v>
      </c>
      <c r="AC18" s="102">
        <f t="shared" si="2"/>
        <v>483722429.7</v>
      </c>
    </row>
    <row r="19" s="10" customFormat="1" ht="35.1" customHeight="1" spans="2:29">
      <c r="B19" s="100" t="s">
        <v>25</v>
      </c>
      <c r="C19" s="101">
        <v>40200000</v>
      </c>
      <c r="D19" s="119">
        <v>-725710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9"/>
      <c r="P19" s="39"/>
      <c r="Q19" s="41">
        <f t="shared" si="6"/>
        <v>0</v>
      </c>
      <c r="R19" s="101">
        <v>66758.4</v>
      </c>
      <c r="S19" s="101">
        <v>1299356.7</v>
      </c>
      <c r="T19" s="101">
        <v>685251.5</v>
      </c>
      <c r="U19" s="101">
        <v>1194031.5</v>
      </c>
      <c r="V19" s="101">
        <v>3552178.71</v>
      </c>
      <c r="W19" s="101">
        <v>1115639.5</v>
      </c>
      <c r="X19" s="101">
        <v>295974.6</v>
      </c>
      <c r="Y19" s="101">
        <v>1643192.78</v>
      </c>
      <c r="Z19" s="101">
        <v>1075361.7</v>
      </c>
      <c r="AA19" s="101">
        <v>716179.07</v>
      </c>
      <c r="AB19" s="101">
        <v>959716.84</v>
      </c>
      <c r="AC19" s="102">
        <f t="shared" si="2"/>
        <v>12603641.3</v>
      </c>
    </row>
    <row r="20" s="10" customFormat="1" ht="35.1" customHeight="1" spans="2:29">
      <c r="B20" s="100" t="s">
        <v>26</v>
      </c>
      <c r="C20" s="101">
        <v>1200000</v>
      </c>
      <c r="D20" s="119">
        <v>1926980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39"/>
      <c r="P20" s="39"/>
      <c r="Q20" s="41">
        <f t="shared" si="6"/>
        <v>0</v>
      </c>
      <c r="R20" s="101"/>
      <c r="S20" s="101"/>
      <c r="T20" s="101"/>
      <c r="U20" s="101">
        <v>643050.47</v>
      </c>
      <c r="V20" s="101">
        <v>0</v>
      </c>
      <c r="W20" s="101">
        <v>385707.5</v>
      </c>
      <c r="X20" s="101"/>
      <c r="Y20" s="101">
        <v>884686.37</v>
      </c>
      <c r="Z20" s="101">
        <v>0</v>
      </c>
      <c r="AA20" s="101">
        <v>0</v>
      </c>
      <c r="AB20" s="101">
        <v>478896.84</v>
      </c>
      <c r="AC20" s="102">
        <f t="shared" si="2"/>
        <v>2392341.18</v>
      </c>
    </row>
    <row r="21" s="10" customFormat="1" ht="35.1" customHeight="1" spans="2:29">
      <c r="B21" s="100" t="s">
        <v>27</v>
      </c>
      <c r="C21" s="101">
        <v>160450000</v>
      </c>
      <c r="D21" s="119">
        <v>55847795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39"/>
      <c r="P21" s="39"/>
      <c r="Q21" s="41">
        <f t="shared" si="6"/>
        <v>0</v>
      </c>
      <c r="R21" s="101">
        <v>717956.31</v>
      </c>
      <c r="S21" s="101">
        <v>1212021.4</v>
      </c>
      <c r="T21" s="101">
        <v>596581.16</v>
      </c>
      <c r="U21" s="101">
        <v>9552279.4</v>
      </c>
      <c r="V21" s="101">
        <v>1187164.17</v>
      </c>
      <c r="W21" s="101">
        <v>558942.4</v>
      </c>
      <c r="X21" s="101">
        <v>1198898.9</v>
      </c>
      <c r="Y21" s="101">
        <v>809059.53</v>
      </c>
      <c r="Z21" s="101">
        <v>46012827.79</v>
      </c>
      <c r="AA21" s="101">
        <v>-8759852.91</v>
      </c>
      <c r="AB21" s="101">
        <v>9468234.39</v>
      </c>
      <c r="AC21" s="102">
        <f t="shared" si="2"/>
        <v>62554112.54</v>
      </c>
    </row>
    <row r="22" s="10" customFormat="1" ht="35.1" customHeight="1" spans="2:29">
      <c r="B22" s="100" t="s">
        <v>28</v>
      </c>
      <c r="C22" s="101">
        <v>34000000</v>
      </c>
      <c r="D22" s="119">
        <v>7130801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39"/>
      <c r="P22" s="39"/>
      <c r="Q22" s="41">
        <f t="shared" si="6"/>
        <v>0</v>
      </c>
      <c r="R22" s="101">
        <v>2196353.98</v>
      </c>
      <c r="S22" s="101">
        <v>1860015.5</v>
      </c>
      <c r="T22" s="101">
        <v>2603654.92</v>
      </c>
      <c r="U22" s="101">
        <v>1904724.04</v>
      </c>
      <c r="V22" s="101">
        <v>2415949.48</v>
      </c>
      <c r="W22" s="101">
        <v>1663672.13</v>
      </c>
      <c r="X22" s="101">
        <v>1401982.61</v>
      </c>
      <c r="Y22" s="101">
        <v>2681042.76</v>
      </c>
      <c r="Z22" s="101">
        <v>8379853.52</v>
      </c>
      <c r="AA22" s="101">
        <v>2039426.21</v>
      </c>
      <c r="AB22" s="101">
        <v>1984991.97</v>
      </c>
      <c r="AC22" s="102">
        <f t="shared" si="2"/>
        <v>29131667.12</v>
      </c>
    </row>
    <row r="23" s="10" customFormat="1" ht="35.1" customHeight="1" spans="2:29">
      <c r="B23" s="104" t="s">
        <v>29</v>
      </c>
      <c r="C23" s="101">
        <v>23050000</v>
      </c>
      <c r="D23" s="119">
        <v>15050000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39"/>
      <c r="P23" s="39"/>
      <c r="Q23" s="41">
        <f t="shared" si="6"/>
        <v>0</v>
      </c>
      <c r="R23" s="101"/>
      <c r="S23" s="101">
        <v>443515.93</v>
      </c>
      <c r="T23" s="101">
        <v>1767250.97</v>
      </c>
      <c r="U23" s="101">
        <v>881170.23</v>
      </c>
      <c r="V23" s="101">
        <v>102212.48</v>
      </c>
      <c r="W23" s="101">
        <v>1463966.82</v>
      </c>
      <c r="X23" s="101">
        <v>5059603.64</v>
      </c>
      <c r="Y23" s="101">
        <v>2787095.42</v>
      </c>
      <c r="Z23" s="101">
        <v>733640.78</v>
      </c>
      <c r="AA23" s="101">
        <v>1684599.15</v>
      </c>
      <c r="AB23" s="101">
        <v>3022060.52</v>
      </c>
      <c r="AC23" s="102">
        <f t="shared" si="2"/>
        <v>17945115.94</v>
      </c>
    </row>
    <row r="24" s="10" customFormat="1" ht="35.1" customHeight="1" spans="2:29">
      <c r="B24" s="104" t="s">
        <v>30</v>
      </c>
      <c r="C24" s="101">
        <v>55017695</v>
      </c>
      <c r="D24" s="119">
        <v>20628527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39"/>
      <c r="P24" s="39"/>
      <c r="Q24" s="41">
        <f t="shared" si="6"/>
        <v>0</v>
      </c>
      <c r="R24" s="102">
        <v>169632.14</v>
      </c>
      <c r="S24" s="102">
        <v>5062041.22</v>
      </c>
      <c r="T24" s="102">
        <v>1475651.37</v>
      </c>
      <c r="U24" s="102">
        <v>917370.3</v>
      </c>
      <c r="V24" s="102">
        <v>3649712.35</v>
      </c>
      <c r="W24" s="102">
        <v>420481</v>
      </c>
      <c r="X24" s="102">
        <v>1037600.6</v>
      </c>
      <c r="Y24" s="102">
        <v>1394784.02</v>
      </c>
      <c r="Z24" s="102">
        <v>2466480</v>
      </c>
      <c r="AA24" s="102">
        <v>400466.4</v>
      </c>
      <c r="AB24" s="102">
        <v>19386416.23</v>
      </c>
      <c r="AC24" s="102">
        <f t="shared" si="2"/>
        <v>36380635.63</v>
      </c>
    </row>
    <row r="25" s="10" customFormat="1" ht="35.1" customHeight="1" spans="2:29">
      <c r="B25" s="100" t="s">
        <v>31</v>
      </c>
      <c r="C25" s="101">
        <v>80200000</v>
      </c>
      <c r="D25" s="119">
        <v>15990000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39"/>
      <c r="P25" s="39"/>
      <c r="Q25" s="41">
        <f t="shared" si="6"/>
        <v>0</v>
      </c>
      <c r="R25" s="101">
        <v>0</v>
      </c>
      <c r="S25" s="101">
        <v>2205036.93</v>
      </c>
      <c r="T25" s="101">
        <v>8172585.6</v>
      </c>
      <c r="U25" s="101">
        <v>2821857.76</v>
      </c>
      <c r="V25" s="101">
        <v>5744015.52</v>
      </c>
      <c r="W25" s="101">
        <v>10990774.56</v>
      </c>
      <c r="X25" s="101">
        <v>5247403.36</v>
      </c>
      <c r="Y25" s="101">
        <v>5937861.55</v>
      </c>
      <c r="Z25" s="101">
        <v>6427386.16</v>
      </c>
      <c r="AA25" s="101">
        <v>5694632.8</v>
      </c>
      <c r="AB25" s="101">
        <v>5908918.24</v>
      </c>
      <c r="AC25" s="102">
        <f t="shared" si="2"/>
        <v>59150472.48</v>
      </c>
    </row>
    <row r="26" s="10" customFormat="1" ht="35.1" customHeight="1" spans="2:29">
      <c r="B26" s="97" t="s">
        <v>32</v>
      </c>
      <c r="C26" s="99">
        <f>SUM(C27:C35)</f>
        <v>93885056</v>
      </c>
      <c r="D26" s="99">
        <f>SUM(D27:D35)</f>
        <v>1720000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6">
        <f>+Q27+Q28+Q29+Q30+Q31+Q33+Q32+Q34+Q35+Q36+Q37</f>
        <v>0</v>
      </c>
      <c r="R26" s="99">
        <f t="shared" ref="R26:W26" si="7">SUM(R27:R35)</f>
        <v>4483646.34</v>
      </c>
      <c r="S26" s="99">
        <f t="shared" si="7"/>
        <v>397190.93</v>
      </c>
      <c r="T26" s="99">
        <f t="shared" si="7"/>
        <v>4383637.66</v>
      </c>
      <c r="U26" s="99">
        <f t="shared" si="7"/>
        <v>5248068.26</v>
      </c>
      <c r="V26" s="99">
        <f t="shared" si="7"/>
        <v>1441463.91</v>
      </c>
      <c r="W26" s="99">
        <f t="shared" si="7"/>
        <v>8776890.09</v>
      </c>
      <c r="X26" s="99">
        <f t="shared" ref="X26:AB26" si="8">SUM(X27:X35)</f>
        <v>2209709.46</v>
      </c>
      <c r="Y26" s="99">
        <f t="shared" si="8"/>
        <v>4002687.43</v>
      </c>
      <c r="Z26" s="99">
        <f t="shared" si="8"/>
        <v>4214334.11</v>
      </c>
      <c r="AA26" s="99">
        <f t="shared" si="8"/>
        <v>9883130.92</v>
      </c>
      <c r="AB26" s="99">
        <f t="shared" si="8"/>
        <v>2550543.24</v>
      </c>
      <c r="AC26" s="103">
        <f>+AC27+AC28+AC29+AC30+AC31+AC32+AC33+AC34+AC35</f>
        <v>47591302.35</v>
      </c>
    </row>
    <row r="27" s="10" customFormat="1" ht="35.1" customHeight="1" spans="2:29">
      <c r="B27" s="100" t="s">
        <v>33</v>
      </c>
      <c r="C27" s="101">
        <v>12300020</v>
      </c>
      <c r="D27" s="119">
        <v>-1800000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39"/>
      <c r="Q27" s="41">
        <f t="shared" si="6"/>
        <v>0</v>
      </c>
      <c r="R27" s="101">
        <v>0</v>
      </c>
      <c r="S27" s="101">
        <v>39715</v>
      </c>
      <c r="T27" s="101">
        <v>58280</v>
      </c>
      <c r="U27" s="101">
        <v>788828.79</v>
      </c>
      <c r="V27" s="101">
        <v>381944.99</v>
      </c>
      <c r="W27" s="101">
        <v>0</v>
      </c>
      <c r="X27" s="101">
        <v>86745</v>
      </c>
      <c r="Y27" s="101">
        <v>467049.24</v>
      </c>
      <c r="Z27" s="101">
        <v>177643.44</v>
      </c>
      <c r="AA27" s="101">
        <v>73110</v>
      </c>
      <c r="AB27" s="101">
        <v>239102.55</v>
      </c>
      <c r="AC27" s="102">
        <f t="shared" si="2"/>
        <v>2312419.01</v>
      </c>
    </row>
    <row r="28" s="10" customFormat="1" ht="35.1" customHeight="1" spans="2:29">
      <c r="B28" s="100" t="s">
        <v>34</v>
      </c>
      <c r="C28" s="101">
        <v>11020000</v>
      </c>
      <c r="D28" s="119">
        <v>-3700000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39"/>
      <c r="Q28" s="41">
        <f t="shared" si="6"/>
        <v>0</v>
      </c>
      <c r="R28" s="101">
        <v>0</v>
      </c>
      <c r="S28" s="101">
        <v>0</v>
      </c>
      <c r="T28" s="101">
        <v>596608</v>
      </c>
      <c r="U28" s="101">
        <v>0</v>
      </c>
      <c r="V28" s="101">
        <v>0</v>
      </c>
      <c r="W28" s="101">
        <v>0</v>
      </c>
      <c r="X28" s="101">
        <v>0</v>
      </c>
      <c r="Y28" s="101">
        <v>3030.24</v>
      </c>
      <c r="Z28" s="101">
        <v>0</v>
      </c>
      <c r="AA28" s="101">
        <v>0</v>
      </c>
      <c r="AB28" s="101">
        <v>0</v>
      </c>
      <c r="AC28" s="102">
        <f t="shared" si="2"/>
        <v>599638.24</v>
      </c>
    </row>
    <row r="29" s="10" customFormat="1" ht="35.1" customHeight="1" spans="2:29">
      <c r="B29" s="100" t="s">
        <v>35</v>
      </c>
      <c r="C29" s="101">
        <v>6330000</v>
      </c>
      <c r="D29" s="119">
        <v>1720000</v>
      </c>
      <c r="E29" s="40"/>
      <c r="F29" s="40"/>
      <c r="G29" s="40"/>
      <c r="H29" s="40"/>
      <c r="I29" s="40"/>
      <c r="J29" s="40"/>
      <c r="K29" s="40"/>
      <c r="L29" s="105"/>
      <c r="M29" s="40"/>
      <c r="N29" s="40"/>
      <c r="O29" s="40"/>
      <c r="P29" s="39"/>
      <c r="Q29" s="41">
        <f t="shared" si="6"/>
        <v>0</v>
      </c>
      <c r="R29" s="101">
        <v>0</v>
      </c>
      <c r="S29" s="101">
        <v>0</v>
      </c>
      <c r="T29" s="101">
        <v>0</v>
      </c>
      <c r="U29" s="101">
        <v>1113095.77</v>
      </c>
      <c r="V29" s="101">
        <v>0</v>
      </c>
      <c r="W29" s="101">
        <v>0</v>
      </c>
      <c r="X29" s="101">
        <v>597001.53</v>
      </c>
      <c r="Y29" s="101">
        <v>3962</v>
      </c>
      <c r="Z29" s="101">
        <v>0</v>
      </c>
      <c r="AA29" s="101">
        <v>0</v>
      </c>
      <c r="AB29" s="101">
        <v>1105893.99</v>
      </c>
      <c r="AC29" s="102">
        <f t="shared" si="2"/>
        <v>2819953.29</v>
      </c>
    </row>
    <row r="30" s="10" customFormat="1" ht="35.1" customHeight="1" spans="2:29">
      <c r="B30" s="100" t="s">
        <v>36</v>
      </c>
      <c r="C30" s="101">
        <v>500000</v>
      </c>
      <c r="D30" s="119">
        <v>600000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39"/>
      <c r="Q30" s="41">
        <f t="shared" si="6"/>
        <v>0</v>
      </c>
      <c r="R30" s="101">
        <v>0</v>
      </c>
      <c r="S30" s="101">
        <v>0</v>
      </c>
      <c r="T30" s="101">
        <v>0</v>
      </c>
      <c r="U30" s="101">
        <v>0</v>
      </c>
      <c r="V30" s="101">
        <v>0</v>
      </c>
      <c r="W30" s="101">
        <v>0</v>
      </c>
      <c r="X30" s="101"/>
      <c r="Y30" s="101">
        <v>1898</v>
      </c>
      <c r="Z30" s="101">
        <v>948686</v>
      </c>
      <c r="AA30" s="101">
        <v>0</v>
      </c>
      <c r="AB30" s="101">
        <v>9187</v>
      </c>
      <c r="AC30" s="102">
        <f t="shared" si="2"/>
        <v>959771</v>
      </c>
    </row>
    <row r="31" s="10" customFormat="1" ht="35.1" customHeight="1" spans="2:29">
      <c r="B31" s="100" t="s">
        <v>37</v>
      </c>
      <c r="C31" s="101">
        <v>565000</v>
      </c>
      <c r="D31" s="119">
        <v>2100000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39"/>
      <c r="Q31" s="41">
        <f t="shared" si="6"/>
        <v>0</v>
      </c>
      <c r="R31" s="101">
        <v>0</v>
      </c>
      <c r="S31" s="101">
        <v>277348.66</v>
      </c>
      <c r="T31" s="101">
        <v>0</v>
      </c>
      <c r="U31" s="101">
        <v>0</v>
      </c>
      <c r="V31" s="101">
        <v>0</v>
      </c>
      <c r="W31" s="101">
        <v>0</v>
      </c>
      <c r="X31" s="101">
        <v>146913.83</v>
      </c>
      <c r="Y31" s="101">
        <v>46475.35</v>
      </c>
      <c r="Z31" s="101">
        <v>0</v>
      </c>
      <c r="AA31" s="101">
        <v>23560.14</v>
      </c>
      <c r="AB31" s="101">
        <v>100099.87</v>
      </c>
      <c r="AC31" s="102">
        <f t="shared" si="2"/>
        <v>594397.85</v>
      </c>
    </row>
    <row r="32" s="10" customFormat="1" ht="35.1" customHeight="1" spans="2:29">
      <c r="B32" s="100" t="s">
        <v>38</v>
      </c>
      <c r="C32" s="101">
        <v>540000</v>
      </c>
      <c r="D32" s="119">
        <v>50500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39"/>
      <c r="Q32" s="41">
        <f t="shared" si="6"/>
        <v>0</v>
      </c>
      <c r="R32" s="101">
        <v>0</v>
      </c>
      <c r="S32" s="101">
        <v>0</v>
      </c>
      <c r="T32" s="101">
        <v>0</v>
      </c>
      <c r="U32" s="101">
        <v>195.01</v>
      </c>
      <c r="V32" s="101"/>
      <c r="W32" s="101"/>
      <c r="X32" s="101"/>
      <c r="Y32" s="101">
        <v>12734.87</v>
      </c>
      <c r="Z32" s="101">
        <v>0</v>
      </c>
      <c r="AA32" s="101">
        <v>20293.17</v>
      </c>
      <c r="AB32" s="101">
        <v>5528.29</v>
      </c>
      <c r="AC32" s="102">
        <f t="shared" si="2"/>
        <v>38751.34</v>
      </c>
    </row>
    <row r="33" s="10" customFormat="1" ht="35.1" customHeight="1" spans="2:29">
      <c r="B33" s="104" t="s">
        <v>39</v>
      </c>
      <c r="C33" s="101">
        <v>14655000</v>
      </c>
      <c r="D33" s="119">
        <v>150000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39"/>
      <c r="Q33" s="41">
        <f t="shared" si="6"/>
        <v>0</v>
      </c>
      <c r="R33" s="101">
        <v>0</v>
      </c>
      <c r="S33" s="101">
        <v>0</v>
      </c>
      <c r="T33" s="101">
        <v>2996200</v>
      </c>
      <c r="U33" s="101">
        <v>1042877.11</v>
      </c>
      <c r="V33" s="101"/>
      <c r="W33" s="101">
        <v>950000</v>
      </c>
      <c r="X33" s="101">
        <v>702813</v>
      </c>
      <c r="Y33" s="101">
        <v>2140035.82</v>
      </c>
      <c r="Z33" s="101">
        <v>950000</v>
      </c>
      <c r="AA33" s="101">
        <v>2841591.51</v>
      </c>
      <c r="AB33" s="101">
        <v>260914.32</v>
      </c>
      <c r="AC33" s="102">
        <f t="shared" si="2"/>
        <v>11884431.76</v>
      </c>
    </row>
    <row r="34" s="10" customFormat="1" ht="35.1" customHeight="1" spans="2:29">
      <c r="B34" s="104" t="s">
        <v>40</v>
      </c>
      <c r="C34" s="101"/>
      <c r="D34" s="119">
        <v>0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39"/>
      <c r="Q34" s="41">
        <f t="shared" si="6"/>
        <v>0</v>
      </c>
      <c r="R34" s="101">
        <v>0</v>
      </c>
      <c r="S34" s="101">
        <v>0</v>
      </c>
      <c r="T34" s="101">
        <v>0</v>
      </c>
      <c r="U34" s="101">
        <v>0</v>
      </c>
      <c r="V34" s="101">
        <v>0</v>
      </c>
      <c r="W34" s="101">
        <v>0</v>
      </c>
      <c r="X34" s="101"/>
      <c r="Y34" s="101"/>
      <c r="Z34" s="101"/>
      <c r="AA34" s="101"/>
      <c r="AB34" s="101"/>
      <c r="AC34" s="102">
        <f t="shared" si="2"/>
        <v>0</v>
      </c>
    </row>
    <row r="35" s="10" customFormat="1" ht="35.1" customHeight="1" spans="2:29">
      <c r="B35" s="100" t="s">
        <v>41</v>
      </c>
      <c r="C35" s="101">
        <v>47975036</v>
      </c>
      <c r="D35" s="119">
        <v>2599500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39"/>
      <c r="Q35" s="41">
        <f t="shared" si="6"/>
        <v>0</v>
      </c>
      <c r="R35" s="101">
        <v>4483646.34</v>
      </c>
      <c r="S35" s="101">
        <v>80127.27</v>
      </c>
      <c r="T35" s="101">
        <v>732549.66</v>
      </c>
      <c r="U35" s="101">
        <v>2303071.58</v>
      </c>
      <c r="V35" s="101">
        <v>1059518.92</v>
      </c>
      <c r="W35" s="101">
        <v>7826890.09</v>
      </c>
      <c r="X35" s="101">
        <v>676236.1</v>
      </c>
      <c r="Y35" s="101">
        <v>1327501.91</v>
      </c>
      <c r="Z35" s="101">
        <v>2138004.67</v>
      </c>
      <c r="AA35" s="101">
        <v>6924576.1</v>
      </c>
      <c r="AB35" s="101">
        <v>829817.22</v>
      </c>
      <c r="AC35" s="102">
        <f t="shared" si="2"/>
        <v>28381939.86</v>
      </c>
    </row>
    <row r="36" s="10" customFormat="1" ht="35.1" customHeight="1" spans="2:29">
      <c r="B36" s="97" t="s">
        <v>42</v>
      </c>
      <c r="C36" s="99">
        <f>SUM(C37:C42)</f>
        <v>0</v>
      </c>
      <c r="D36" s="99">
        <f>SUM(D37:D44)</f>
        <v>1350412</v>
      </c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40"/>
      <c r="P36" s="40"/>
      <c r="Q36" s="41">
        <f t="shared" si="6"/>
        <v>0</v>
      </c>
      <c r="R36" s="99">
        <f>SUM(R37:R43)</f>
        <v>0</v>
      </c>
      <c r="S36" s="99">
        <f>SUM(S37:S42)</f>
        <v>0</v>
      </c>
      <c r="T36" s="99">
        <f>SUM(T37:T42)</f>
        <v>0</v>
      </c>
      <c r="U36" s="99">
        <f>SUM(U37:U42)</f>
        <v>0</v>
      </c>
      <c r="V36" s="99">
        <v>0</v>
      </c>
      <c r="W36" s="99">
        <v>0</v>
      </c>
      <c r="X36" s="99">
        <f>+SUM(X37:X44)</f>
        <v>1328872.4</v>
      </c>
      <c r="Y36" s="99">
        <f>+SUM(Y37:Y44)</f>
        <v>0</v>
      </c>
      <c r="Z36" s="99">
        <f>+SUM(Z37:Z44)</f>
        <v>0</v>
      </c>
      <c r="AA36" s="99">
        <f>+SUM(AA37:AA44)</f>
        <v>0</v>
      </c>
      <c r="AB36" s="99">
        <f>+SUM(AB37:AB44)</f>
        <v>0</v>
      </c>
      <c r="AC36" s="99">
        <f>+AC37+AC38+AC39+AC40+AC41+AC42+AC43+AC44</f>
        <v>1328872.4</v>
      </c>
    </row>
    <row r="37" s="10" customFormat="1" ht="35.1" customHeight="1" spans="2:29">
      <c r="B37" s="100" t="s">
        <v>43</v>
      </c>
      <c r="C37" s="101">
        <v>0</v>
      </c>
      <c r="D37" s="11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39"/>
      <c r="Q37" s="41">
        <f t="shared" si="6"/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/>
      <c r="Y37" s="101"/>
      <c r="Z37" s="101"/>
      <c r="AA37" s="101"/>
      <c r="AB37" s="101">
        <v>0</v>
      </c>
      <c r="AC37" s="102">
        <f t="shared" si="2"/>
        <v>0</v>
      </c>
    </row>
    <row r="38" s="10" customFormat="1" ht="35.1" customHeight="1" spans="2:29">
      <c r="B38" s="104" t="s">
        <v>44</v>
      </c>
      <c r="C38" s="101"/>
      <c r="D38" s="11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39"/>
      <c r="Q38" s="41">
        <f t="shared" si="6"/>
        <v>0</v>
      </c>
      <c r="R38" s="101"/>
      <c r="S38" s="101"/>
      <c r="T38" s="101"/>
      <c r="U38" s="101"/>
      <c r="V38" s="101"/>
      <c r="W38" s="101"/>
      <c r="X38" s="101"/>
      <c r="Y38" s="101"/>
      <c r="Z38" s="101"/>
      <c r="AA38" s="101">
        <v>0</v>
      </c>
      <c r="AB38" s="101">
        <v>0</v>
      </c>
      <c r="AC38" s="102">
        <f t="shared" si="2"/>
        <v>0</v>
      </c>
    </row>
    <row r="39" s="10" customFormat="1" ht="35.1" customHeight="1" spans="2:29">
      <c r="B39" s="104" t="s">
        <v>45</v>
      </c>
      <c r="C39" s="101"/>
      <c r="D39" s="11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39"/>
      <c r="Q39" s="41">
        <f t="shared" si="6"/>
        <v>0</v>
      </c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>
        <v>0</v>
      </c>
      <c r="AC39" s="102">
        <f t="shared" si="2"/>
        <v>0</v>
      </c>
    </row>
    <row r="40" s="10" customFormat="1" ht="35.1" customHeight="1" spans="2:29">
      <c r="B40" s="104" t="s">
        <v>46</v>
      </c>
      <c r="C40" s="101"/>
      <c r="D40" s="11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  <c r="Q40" s="41">
        <f t="shared" si="6"/>
        <v>0</v>
      </c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2">
        <f t="shared" si="2"/>
        <v>0</v>
      </c>
    </row>
    <row r="41" s="10" customFormat="1" ht="35.1" customHeight="1" spans="2:29">
      <c r="B41" s="104" t="s">
        <v>47</v>
      </c>
      <c r="C41" s="101"/>
      <c r="D41" s="11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  <c r="Q41" s="41">
        <f t="shared" si="6"/>
        <v>0</v>
      </c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>
        <f t="shared" si="2"/>
        <v>0</v>
      </c>
    </row>
    <row r="42" s="10" customFormat="1" ht="35.1" customHeight="1" spans="2:29">
      <c r="B42" s="104" t="s">
        <v>48</v>
      </c>
      <c r="C42" s="101"/>
      <c r="D42" s="11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  <c r="Q42" s="41">
        <f t="shared" si="6"/>
        <v>0</v>
      </c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>
        <f t="shared" si="2"/>
        <v>0</v>
      </c>
    </row>
    <row r="43" s="10" customFormat="1" ht="35.1" customHeight="1" spans="2:29">
      <c r="B43" s="100" t="s">
        <v>49</v>
      </c>
      <c r="C43" s="101"/>
      <c r="D43" s="119">
        <v>1350412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  <c r="Q43" s="41">
        <f t="shared" si="6"/>
        <v>0</v>
      </c>
      <c r="R43" s="101"/>
      <c r="S43" s="101"/>
      <c r="T43" s="101"/>
      <c r="U43" s="101"/>
      <c r="V43" s="101"/>
      <c r="W43" s="101"/>
      <c r="X43" s="101">
        <v>1328872.4</v>
      </c>
      <c r="Y43" s="101">
        <v>0</v>
      </c>
      <c r="Z43" s="101">
        <v>0</v>
      </c>
      <c r="AA43" s="101">
        <v>0</v>
      </c>
      <c r="AB43" s="101">
        <v>0</v>
      </c>
      <c r="AC43" s="102">
        <f t="shared" si="2"/>
        <v>1328872.4</v>
      </c>
    </row>
    <row r="44" s="10" customFormat="1" ht="35.1" customHeight="1" spans="2:29">
      <c r="B44" s="104" t="s">
        <v>50</v>
      </c>
      <c r="C44" s="99"/>
      <c r="D44" s="119"/>
      <c r="E44" s="35"/>
      <c r="F44" s="35"/>
      <c r="G44" s="35"/>
      <c r="H44" s="35"/>
      <c r="I44" s="35"/>
      <c r="J44" s="35"/>
      <c r="K44" s="35"/>
      <c r="L44" s="35"/>
      <c r="M44" s="35"/>
      <c r="N44" s="40"/>
      <c r="O44" s="40"/>
      <c r="P44" s="39"/>
      <c r="Q44" s="41">
        <f t="shared" si="6"/>
        <v>0</v>
      </c>
      <c r="R44" s="99">
        <f>SUM(R45:R51)</f>
        <v>0</v>
      </c>
      <c r="S44" s="99">
        <f>SUM(S45:S51)</f>
        <v>0</v>
      </c>
      <c r="T44" s="99">
        <f>SUM(T45:T51)</f>
        <v>0</v>
      </c>
      <c r="U44" s="99">
        <f>SUM(U45:U51)</f>
        <v>0</v>
      </c>
      <c r="V44" s="99">
        <v>0</v>
      </c>
      <c r="W44" s="99">
        <v>0</v>
      </c>
      <c r="X44" s="99">
        <v>0</v>
      </c>
      <c r="Y44" s="99">
        <v>0</v>
      </c>
      <c r="Z44" s="99">
        <v>0</v>
      </c>
      <c r="AA44" s="99">
        <v>0</v>
      </c>
      <c r="AB44" s="99">
        <v>0</v>
      </c>
      <c r="AC44" s="102">
        <f t="shared" si="2"/>
        <v>0</v>
      </c>
    </row>
    <row r="45" s="10" customFormat="1" ht="35.1" customHeight="1" spans="2:29">
      <c r="B45" s="97" t="s">
        <v>51</v>
      </c>
      <c r="C45" s="99">
        <v>0</v>
      </c>
      <c r="D45" s="120">
        <v>0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  <c r="Q45" s="41">
        <f t="shared" si="6"/>
        <v>0</v>
      </c>
      <c r="R45" s="101"/>
      <c r="S45" s="101"/>
      <c r="T45" s="101"/>
      <c r="U45" s="101"/>
      <c r="V45" s="101">
        <v>0</v>
      </c>
      <c r="W45" s="101">
        <v>0</v>
      </c>
      <c r="X45" s="101"/>
      <c r="Y45" s="101"/>
      <c r="Z45" s="101"/>
      <c r="AA45" s="101"/>
      <c r="AB45" s="101"/>
      <c r="AC45" s="102">
        <f t="shared" si="2"/>
        <v>0</v>
      </c>
    </row>
    <row r="46" s="10" customFormat="1" ht="35.1" customHeight="1" spans="2:29">
      <c r="B46" s="100" t="s">
        <v>123</v>
      </c>
      <c r="C46" s="101"/>
      <c r="D46" s="11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  <c r="Q46" s="41">
        <f t="shared" si="6"/>
        <v>0</v>
      </c>
      <c r="R46" s="101"/>
      <c r="S46" s="101"/>
      <c r="T46" s="101"/>
      <c r="U46" s="101"/>
      <c r="V46" s="101">
        <v>0</v>
      </c>
      <c r="W46" s="101">
        <v>0</v>
      </c>
      <c r="X46" s="101"/>
      <c r="Y46" s="101"/>
      <c r="Z46" s="101"/>
      <c r="AA46" s="101"/>
      <c r="AB46" s="101"/>
      <c r="AC46" s="102">
        <f t="shared" si="2"/>
        <v>0</v>
      </c>
    </row>
    <row r="47" s="10" customFormat="1" ht="35.1" customHeight="1" spans="2:29">
      <c r="B47" s="104" t="s">
        <v>52</v>
      </c>
      <c r="C47" s="101"/>
      <c r="D47" s="11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  <c r="Q47" s="41">
        <f t="shared" si="6"/>
        <v>0</v>
      </c>
      <c r="R47" s="101"/>
      <c r="S47" s="101"/>
      <c r="T47" s="101"/>
      <c r="U47" s="101"/>
      <c r="V47" s="101">
        <v>0</v>
      </c>
      <c r="W47" s="101">
        <v>0</v>
      </c>
      <c r="X47" s="101"/>
      <c r="Y47" s="101"/>
      <c r="Z47" s="101"/>
      <c r="AA47" s="101"/>
      <c r="AB47" s="101"/>
      <c r="AC47" s="102">
        <f t="shared" si="2"/>
        <v>0</v>
      </c>
    </row>
    <row r="48" s="10" customFormat="1" ht="35.1" customHeight="1" spans="2:29">
      <c r="B48" s="104" t="s">
        <v>53</v>
      </c>
      <c r="C48" s="101"/>
      <c r="D48" s="121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  <c r="Q48" s="41">
        <f t="shared" si="6"/>
        <v>0</v>
      </c>
      <c r="R48" s="101"/>
      <c r="S48" s="101"/>
      <c r="T48" s="101"/>
      <c r="U48" s="101"/>
      <c r="V48" s="101">
        <v>0</v>
      </c>
      <c r="W48" s="101">
        <v>0</v>
      </c>
      <c r="X48" s="101"/>
      <c r="Y48" s="101"/>
      <c r="Z48" s="101"/>
      <c r="AA48" s="101"/>
      <c r="AB48" s="101"/>
      <c r="AC48" s="102">
        <f t="shared" si="2"/>
        <v>0</v>
      </c>
    </row>
    <row r="49" s="10" customFormat="1" ht="35.1" customHeight="1" spans="2:29">
      <c r="B49" s="104" t="s">
        <v>54</v>
      </c>
      <c r="C49" s="101"/>
      <c r="D49" s="11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  <c r="Q49" s="41">
        <f t="shared" si="6"/>
        <v>0</v>
      </c>
      <c r="R49" s="101"/>
      <c r="S49" s="101"/>
      <c r="T49" s="101"/>
      <c r="U49" s="101"/>
      <c r="V49" s="101">
        <v>0</v>
      </c>
      <c r="W49" s="101">
        <v>0</v>
      </c>
      <c r="X49" s="101"/>
      <c r="Y49" s="101"/>
      <c r="Z49" s="101"/>
      <c r="AA49" s="101"/>
      <c r="AB49" s="101"/>
      <c r="AC49" s="102">
        <f t="shared" si="2"/>
        <v>0</v>
      </c>
    </row>
    <row r="50" s="10" customFormat="1" ht="35.1" customHeight="1" spans="2:29">
      <c r="B50" s="100" t="s">
        <v>55</v>
      </c>
      <c r="C50" s="101"/>
      <c r="D50" s="11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  <c r="Q50" s="41">
        <f t="shared" si="6"/>
        <v>0</v>
      </c>
      <c r="R50" s="101"/>
      <c r="S50" s="101"/>
      <c r="T50" s="101"/>
      <c r="U50" s="101"/>
      <c r="V50" s="101">
        <v>0</v>
      </c>
      <c r="W50" s="101">
        <v>0</v>
      </c>
      <c r="X50" s="101"/>
      <c r="Y50" s="101"/>
      <c r="Z50" s="101"/>
      <c r="AA50" s="101"/>
      <c r="AB50" s="101"/>
      <c r="AC50" s="102">
        <f t="shared" si="2"/>
        <v>0</v>
      </c>
    </row>
    <row r="51" s="10" customFormat="1" ht="35.1" customHeight="1" spans="2:29">
      <c r="B51" s="104" t="s">
        <v>56</v>
      </c>
      <c r="C51" s="101"/>
      <c r="D51" s="11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  <c r="Q51" s="41">
        <f t="shared" si="6"/>
        <v>0</v>
      </c>
      <c r="R51" s="101"/>
      <c r="S51" s="101"/>
      <c r="T51" s="101"/>
      <c r="U51" s="101"/>
      <c r="V51" s="101">
        <v>0</v>
      </c>
      <c r="W51" s="101">
        <v>0</v>
      </c>
      <c r="X51" s="101"/>
      <c r="Y51" s="101"/>
      <c r="Z51" s="101"/>
      <c r="AA51" s="101"/>
      <c r="AB51" s="101"/>
      <c r="AC51" s="102">
        <f t="shared" si="2"/>
        <v>0</v>
      </c>
    </row>
    <row r="52" s="10" customFormat="1" ht="35.1" customHeight="1" spans="2:29">
      <c r="B52" s="97" t="s">
        <v>57</v>
      </c>
      <c r="C52" s="99">
        <f>SUM(C53:C61)</f>
        <v>139200000</v>
      </c>
      <c r="D52" s="99">
        <f>SUM(D53:D61)</f>
        <v>41826195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6">
        <f>+Q53+Q54+Q55+Q56+Q57+Q58+Q59+Q60+Q61</f>
        <v>0</v>
      </c>
      <c r="R52" s="99">
        <f t="shared" ref="R52:Y52" si="9">SUM(R53:R61)</f>
        <v>0</v>
      </c>
      <c r="S52" s="99">
        <f t="shared" si="9"/>
        <v>5108692</v>
      </c>
      <c r="T52" s="99">
        <f t="shared" si="9"/>
        <v>3275143.83</v>
      </c>
      <c r="U52" s="99">
        <f t="shared" si="9"/>
        <v>12829393</v>
      </c>
      <c r="V52" s="99">
        <f t="shared" si="9"/>
        <v>3821925.28</v>
      </c>
      <c r="W52" s="99">
        <f t="shared" si="9"/>
        <v>500000.01</v>
      </c>
      <c r="X52" s="99">
        <f t="shared" ref="X52" si="10">SUM(X53:X61)</f>
        <v>0</v>
      </c>
      <c r="Y52" s="99">
        <f t="shared" si="9"/>
        <v>427619.02</v>
      </c>
      <c r="Z52" s="99">
        <f t="shared" ref="Z52:AC52" si="11">SUM(Z53:Z61)</f>
        <v>34004809.6</v>
      </c>
      <c r="AA52" s="99">
        <f t="shared" si="11"/>
        <v>378977.95</v>
      </c>
      <c r="AB52" s="99">
        <f t="shared" si="11"/>
        <v>9621179.08</v>
      </c>
      <c r="AC52" s="99">
        <f t="shared" si="11"/>
        <v>69967739.77</v>
      </c>
    </row>
    <row r="53" s="10" customFormat="1" ht="35.1" customHeight="1" spans="2:29">
      <c r="B53" s="100" t="s">
        <v>58</v>
      </c>
      <c r="C53" s="101">
        <v>85300000</v>
      </c>
      <c r="D53" s="119">
        <v>-50733405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  <c r="Q53" s="41">
        <f t="shared" si="6"/>
        <v>0</v>
      </c>
      <c r="R53" s="101"/>
      <c r="S53" s="101"/>
      <c r="T53" s="101"/>
      <c r="U53" s="101">
        <v>0</v>
      </c>
      <c r="V53" s="101">
        <v>424849.09</v>
      </c>
      <c r="W53" s="101">
        <v>0</v>
      </c>
      <c r="X53" s="101"/>
      <c r="Y53" s="101">
        <v>246620</v>
      </c>
      <c r="Z53" s="101">
        <v>144809.6</v>
      </c>
      <c r="AA53" s="101">
        <v>335317.95</v>
      </c>
      <c r="AB53" s="101">
        <v>247800</v>
      </c>
      <c r="AC53" s="102">
        <f t="shared" si="2"/>
        <v>1399396.64</v>
      </c>
    </row>
    <row r="54" s="10" customFormat="1" ht="35.1" customHeight="1" spans="2:29">
      <c r="B54" s="104" t="s">
        <v>59</v>
      </c>
      <c r="C54" s="101">
        <v>900000</v>
      </c>
      <c r="D54" s="119">
        <v>2300000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  <c r="Q54" s="41">
        <f t="shared" si="6"/>
        <v>0</v>
      </c>
      <c r="R54" s="101"/>
      <c r="S54" s="101">
        <v>16992</v>
      </c>
      <c r="T54" s="101">
        <v>0</v>
      </c>
      <c r="U54" s="101">
        <v>351168</v>
      </c>
      <c r="V54" s="101">
        <v>1886676.19</v>
      </c>
      <c r="W54" s="101">
        <v>0</v>
      </c>
      <c r="X54" s="101"/>
      <c r="Y54" s="101"/>
      <c r="Z54" s="101"/>
      <c r="AA54" s="101"/>
      <c r="AB54" s="101">
        <v>112395</v>
      </c>
      <c r="AC54" s="102">
        <f t="shared" si="2"/>
        <v>2367231.19</v>
      </c>
    </row>
    <row r="55" s="10" customFormat="1" ht="35.1" customHeight="1" spans="2:29">
      <c r="B55" s="100" t="s">
        <v>60</v>
      </c>
      <c r="C55" s="101">
        <v>250000</v>
      </c>
      <c r="D55" s="119">
        <v>0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  <c r="Q55" s="41">
        <f t="shared" si="6"/>
        <v>0</v>
      </c>
      <c r="R55" s="101"/>
      <c r="S55" s="101"/>
      <c r="T55" s="101"/>
      <c r="U55" s="101">
        <v>0</v>
      </c>
      <c r="V55" s="101">
        <v>0</v>
      </c>
      <c r="W55" s="101">
        <v>0</v>
      </c>
      <c r="X55" s="101"/>
      <c r="Y55" s="101"/>
      <c r="Z55" s="101"/>
      <c r="AA55" s="101">
        <v>43660</v>
      </c>
      <c r="AB55" s="101"/>
      <c r="AC55" s="102">
        <f t="shared" si="2"/>
        <v>43660</v>
      </c>
    </row>
    <row r="56" s="10" customFormat="1" ht="35.1" customHeight="1" spans="2:29">
      <c r="B56" s="104" t="s">
        <v>61</v>
      </c>
      <c r="C56" s="101">
        <v>30250000</v>
      </c>
      <c r="D56" s="119">
        <v>42659600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  <c r="Q56" s="41">
        <f t="shared" si="6"/>
        <v>0</v>
      </c>
      <c r="R56" s="101"/>
      <c r="S56" s="101"/>
      <c r="T56" s="101"/>
      <c r="U56" s="101"/>
      <c r="V56" s="101">
        <v>0</v>
      </c>
      <c r="W56" s="101">
        <v>500000.01</v>
      </c>
      <c r="X56" s="101"/>
      <c r="Y56" s="101"/>
      <c r="Z56" s="101">
        <v>29960000</v>
      </c>
      <c r="AA56" s="101"/>
      <c r="AB56" s="101">
        <v>9260984.08</v>
      </c>
      <c r="AC56" s="102">
        <f t="shared" si="2"/>
        <v>39720984.09</v>
      </c>
    </row>
    <row r="57" s="10" customFormat="1" ht="35.1" customHeight="1" spans="2:29">
      <c r="B57" s="100" t="s">
        <v>62</v>
      </c>
      <c r="C57" s="101">
        <v>16700000</v>
      </c>
      <c r="D57" s="119">
        <v>7200000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  <c r="Q57" s="41">
        <f t="shared" si="6"/>
        <v>0</v>
      </c>
      <c r="R57" s="101"/>
      <c r="S57" s="101">
        <v>5091700</v>
      </c>
      <c r="T57" s="101">
        <v>3275143.83</v>
      </c>
      <c r="U57" s="101">
        <v>10443600</v>
      </c>
      <c r="V57" s="101">
        <v>0</v>
      </c>
      <c r="W57" s="101">
        <v>0</v>
      </c>
      <c r="X57" s="101"/>
      <c r="Y57" s="101"/>
      <c r="Z57" s="101"/>
      <c r="AA57" s="101"/>
      <c r="AB57" s="101"/>
      <c r="AC57" s="102">
        <f t="shared" si="2"/>
        <v>18810443.83</v>
      </c>
    </row>
    <row r="58" s="10" customFormat="1" ht="35.1" customHeight="1" spans="2:29">
      <c r="B58" s="100" t="s">
        <v>63</v>
      </c>
      <c r="C58" s="101">
        <v>5000000</v>
      </c>
      <c r="D58" s="119">
        <v>7900000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  <c r="Q58" s="41">
        <f t="shared" si="6"/>
        <v>0</v>
      </c>
      <c r="R58" s="101"/>
      <c r="S58" s="101"/>
      <c r="T58" s="101"/>
      <c r="U58" s="101"/>
      <c r="V58" s="101">
        <v>1510400</v>
      </c>
      <c r="W58" s="101">
        <v>0</v>
      </c>
      <c r="X58" s="101"/>
      <c r="Y58" s="101"/>
      <c r="Z58" s="101"/>
      <c r="AA58" s="101"/>
      <c r="AB58" s="101"/>
      <c r="AC58" s="102">
        <f t="shared" si="2"/>
        <v>1510400</v>
      </c>
    </row>
    <row r="59" s="10" customFormat="1" ht="35.1" customHeight="1" spans="2:29">
      <c r="B59" s="100" t="s">
        <v>64</v>
      </c>
      <c r="C59" s="101"/>
      <c r="D59" s="11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  <c r="Q59" s="41">
        <f t="shared" si="6"/>
        <v>0</v>
      </c>
      <c r="R59" s="101"/>
      <c r="S59" s="101"/>
      <c r="T59" s="101"/>
      <c r="U59" s="101"/>
      <c r="V59" s="101">
        <v>0</v>
      </c>
      <c r="W59" s="101">
        <v>0</v>
      </c>
      <c r="X59" s="101"/>
      <c r="Y59" s="101"/>
      <c r="Z59" s="101"/>
      <c r="AA59" s="101"/>
      <c r="AB59" s="101"/>
      <c r="AC59" s="102">
        <f t="shared" si="2"/>
        <v>0</v>
      </c>
    </row>
    <row r="60" s="10" customFormat="1" ht="35.1" customHeight="1" spans="2:29">
      <c r="B60" s="100" t="s">
        <v>65</v>
      </c>
      <c r="C60" s="101">
        <v>300000</v>
      </c>
      <c r="D60" s="119">
        <v>14500000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  <c r="Q60" s="41">
        <f t="shared" si="6"/>
        <v>0</v>
      </c>
      <c r="R60" s="101"/>
      <c r="S60" s="101"/>
      <c r="T60" s="101"/>
      <c r="U60" s="101">
        <v>2034625</v>
      </c>
      <c r="V60" s="101">
        <v>0</v>
      </c>
      <c r="W60" s="101">
        <v>0</v>
      </c>
      <c r="X60" s="101"/>
      <c r="Y60" s="101">
        <v>180999.02</v>
      </c>
      <c r="Z60" s="101">
        <v>3900000</v>
      </c>
      <c r="AA60" s="101"/>
      <c r="AB60" s="101"/>
      <c r="AC60" s="102">
        <f t="shared" si="2"/>
        <v>6115624.02</v>
      </c>
    </row>
    <row r="61" s="10" customFormat="1" ht="35.1" customHeight="1" spans="2:29">
      <c r="B61" s="104" t="s">
        <v>66</v>
      </c>
      <c r="C61" s="101">
        <v>500000</v>
      </c>
      <c r="D61" s="119">
        <v>18000000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  <c r="Q61" s="41">
        <f t="shared" si="6"/>
        <v>0</v>
      </c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>
        <f t="shared" si="2"/>
        <v>0</v>
      </c>
    </row>
    <row r="62" s="10" customFormat="1" ht="35.1" customHeight="1" spans="2:29">
      <c r="B62" s="97" t="s">
        <v>67</v>
      </c>
      <c r="C62" s="99">
        <f>SUM(C63:C66)</f>
        <v>40000000</v>
      </c>
      <c r="D62" s="99">
        <f>SUM(D63:D66)</f>
        <v>20000000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9"/>
      <c r="Q62" s="41">
        <f t="shared" si="6"/>
        <v>0</v>
      </c>
      <c r="R62" s="99">
        <f t="shared" ref="R62:AB62" si="12">SUM(R63:R65)</f>
        <v>0</v>
      </c>
      <c r="S62" s="99">
        <f t="shared" si="12"/>
        <v>0</v>
      </c>
      <c r="T62" s="99">
        <f t="shared" si="12"/>
        <v>0</v>
      </c>
      <c r="U62" s="99">
        <f t="shared" si="12"/>
        <v>0</v>
      </c>
      <c r="V62" s="99">
        <f t="shared" si="12"/>
        <v>230000</v>
      </c>
      <c r="W62" s="99">
        <f t="shared" si="12"/>
        <v>0</v>
      </c>
      <c r="X62" s="99"/>
      <c r="Y62" s="99">
        <f t="shared" si="12"/>
        <v>2800000</v>
      </c>
      <c r="Z62" s="99">
        <f t="shared" si="12"/>
        <v>0</v>
      </c>
      <c r="AA62" s="99">
        <f t="shared" si="12"/>
        <v>0</v>
      </c>
      <c r="AB62" s="99">
        <f t="shared" si="12"/>
        <v>0</v>
      </c>
      <c r="AC62" s="99">
        <f>SUM(AC63:AC71)</f>
        <v>3030000</v>
      </c>
    </row>
    <row r="63" s="10" customFormat="1" ht="35.1" customHeight="1" spans="2:29">
      <c r="B63" s="100" t="s">
        <v>68</v>
      </c>
      <c r="C63" s="101">
        <v>40000000</v>
      </c>
      <c r="D63" s="119">
        <v>20000000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  <c r="Q63" s="41">
        <f t="shared" si="6"/>
        <v>0</v>
      </c>
      <c r="R63" s="101"/>
      <c r="S63" s="101"/>
      <c r="T63" s="101"/>
      <c r="U63" s="101"/>
      <c r="V63" s="101">
        <v>230000</v>
      </c>
      <c r="W63" s="101">
        <v>0</v>
      </c>
      <c r="X63" s="101"/>
      <c r="Y63" s="101">
        <v>2800000</v>
      </c>
      <c r="Z63" s="101">
        <v>0</v>
      </c>
      <c r="AA63" s="101">
        <v>0</v>
      </c>
      <c r="AB63" s="101">
        <v>0</v>
      </c>
      <c r="AC63" s="102">
        <f t="shared" si="2"/>
        <v>3030000</v>
      </c>
    </row>
    <row r="64" s="10" customFormat="1" ht="35.1" customHeight="1" spans="2:29">
      <c r="B64" s="100" t="s">
        <v>69</v>
      </c>
      <c r="C64" s="101"/>
      <c r="D64" s="11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  <c r="Q64" s="41">
        <f t="shared" si="6"/>
        <v>0</v>
      </c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>
        <f t="shared" si="2"/>
        <v>0</v>
      </c>
    </row>
    <row r="65" s="10" customFormat="1" ht="35.1" customHeight="1" spans="2:29">
      <c r="B65" s="100" t="s">
        <v>70</v>
      </c>
      <c r="C65" s="101"/>
      <c r="D65" s="11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  <c r="Q65" s="41">
        <f t="shared" si="6"/>
        <v>0</v>
      </c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>
        <f t="shared" si="2"/>
        <v>0</v>
      </c>
    </row>
    <row r="66" s="10" customFormat="1" ht="35.1" customHeight="1" spans="2:29">
      <c r="B66" s="104" t="s">
        <v>71</v>
      </c>
      <c r="C66" s="101"/>
      <c r="D66" s="119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  <c r="Q66" s="41">
        <f t="shared" si="6"/>
        <v>0</v>
      </c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>
        <f t="shared" si="2"/>
        <v>0</v>
      </c>
    </row>
    <row r="67" s="10" customFormat="1" ht="35.1" customHeight="1" spans="2:29">
      <c r="B67" s="106" t="s">
        <v>72</v>
      </c>
      <c r="C67" s="99"/>
      <c r="D67" s="120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40"/>
      <c r="P67" s="39"/>
      <c r="Q67" s="41">
        <f t="shared" si="6"/>
        <v>0</v>
      </c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102">
        <f t="shared" si="2"/>
        <v>0</v>
      </c>
    </row>
    <row r="68" s="10" customFormat="1" ht="35.1" customHeight="1" spans="2:29">
      <c r="B68" s="100" t="s">
        <v>73</v>
      </c>
      <c r="C68" s="101"/>
      <c r="D68" s="119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  <c r="Q68" s="41">
        <f t="shared" si="6"/>
        <v>0</v>
      </c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>
        <f t="shared" si="2"/>
        <v>0</v>
      </c>
    </row>
    <row r="69" s="10" customFormat="1" ht="35.1" customHeight="1" spans="2:29">
      <c r="B69" s="104" t="s">
        <v>74</v>
      </c>
      <c r="C69" s="101"/>
      <c r="D69" s="119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  <c r="Q69" s="41">
        <f t="shared" si="6"/>
        <v>0</v>
      </c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>
        <f t="shared" si="2"/>
        <v>0</v>
      </c>
    </row>
    <row r="70" s="10" customFormat="1" ht="35.1" customHeight="1" spans="2:29">
      <c r="B70" s="97" t="s">
        <v>75</v>
      </c>
      <c r="C70" s="99">
        <f>SUM(C71:C73)</f>
        <v>0</v>
      </c>
      <c r="D70" s="120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40"/>
      <c r="P70" s="39"/>
      <c r="Q70" s="41">
        <f t="shared" si="6"/>
        <v>0</v>
      </c>
      <c r="R70" s="99">
        <f>SUM(R71:R73)</f>
        <v>0</v>
      </c>
      <c r="S70" s="99">
        <f>SUM(S71:S73)</f>
        <v>0</v>
      </c>
      <c r="T70" s="99">
        <f>SUM(T71:T73)</f>
        <v>0</v>
      </c>
      <c r="U70" s="99">
        <f>SUM(U71:U73)</f>
        <v>0</v>
      </c>
      <c r="V70" s="99"/>
      <c r="W70" s="99"/>
      <c r="X70" s="99"/>
      <c r="Y70" s="99"/>
      <c r="Z70" s="99"/>
      <c r="AA70" s="99"/>
      <c r="AB70" s="99"/>
      <c r="AC70" s="102">
        <f t="shared" si="2"/>
        <v>0</v>
      </c>
    </row>
    <row r="71" s="10" customFormat="1" ht="35.1" customHeight="1" spans="2:29">
      <c r="B71" s="100" t="s">
        <v>76</v>
      </c>
      <c r="C71" s="101"/>
      <c r="D71" s="119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  <c r="Q71" s="41">
        <f t="shared" si="6"/>
        <v>0</v>
      </c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>
        <f t="shared" si="2"/>
        <v>0</v>
      </c>
    </row>
    <row r="72" s="10" customFormat="1" ht="35.1" customHeight="1" spans="2:29">
      <c r="B72" s="100" t="s">
        <v>77</v>
      </c>
      <c r="C72" s="101"/>
      <c r="D72" s="119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  <c r="Q72" s="41">
        <f t="shared" si="6"/>
        <v>0</v>
      </c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>
        <f t="shared" si="2"/>
        <v>0</v>
      </c>
    </row>
    <row r="73" s="10" customFormat="1" ht="35.1" customHeight="1" spans="2:29">
      <c r="B73" s="104" t="s">
        <v>78</v>
      </c>
      <c r="C73" s="101"/>
      <c r="D73" s="119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  <c r="Q73" s="41">
        <f t="shared" si="6"/>
        <v>0</v>
      </c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>
        <f t="shared" si="2"/>
        <v>0</v>
      </c>
    </row>
    <row r="74" s="10" customFormat="1" ht="35.1" customHeight="1" spans="2:29">
      <c r="B74" s="97" t="s">
        <v>79</v>
      </c>
      <c r="C74" s="107"/>
      <c r="D74" s="120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2">
        <f t="shared" si="2"/>
        <v>0</v>
      </c>
    </row>
    <row r="75" s="10" customFormat="1" ht="35.1" customHeight="1" spans="2:29">
      <c r="B75" s="97" t="s">
        <v>80</v>
      </c>
      <c r="C75" s="107"/>
      <c r="D75" s="120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6"/>
        <v>0</v>
      </c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2">
        <f t="shared" si="2"/>
        <v>0</v>
      </c>
    </row>
    <row r="76" s="10" customFormat="1" ht="35.1" customHeight="1" spans="2:29">
      <c r="B76" s="100" t="s">
        <v>81</v>
      </c>
      <c r="C76" s="108"/>
      <c r="D76" s="11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6"/>
        <v>0</v>
      </c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2">
        <f t="shared" ref="AC76:AC82" si="13">+U76+R76+S76+T76+W76+V76+Y76+X76+AB76+Z76+AA76</f>
        <v>0</v>
      </c>
    </row>
    <row r="77" s="10" customFormat="1" ht="35.1" customHeight="1" spans="2:29">
      <c r="B77" s="100" t="s">
        <v>82</v>
      </c>
      <c r="C77" s="108"/>
      <c r="D77" s="11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6"/>
        <v>0</v>
      </c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2">
        <f t="shared" si="13"/>
        <v>0</v>
      </c>
    </row>
    <row r="78" s="10" customFormat="1" ht="35.1" customHeight="1" spans="2:29">
      <c r="B78" s="97" t="s">
        <v>83</v>
      </c>
      <c r="C78" s="107"/>
      <c r="D78" s="120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6"/>
        <v>0</v>
      </c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2">
        <f t="shared" si="13"/>
        <v>0</v>
      </c>
    </row>
    <row r="79" s="10" customFormat="1" ht="35.1" customHeight="1" spans="2:29">
      <c r="B79" s="100" t="s">
        <v>84</v>
      </c>
      <c r="C79" s="108"/>
      <c r="D79" s="11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6"/>
        <v>0</v>
      </c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2">
        <f t="shared" si="13"/>
        <v>0</v>
      </c>
    </row>
    <row r="80" s="10" customFormat="1" ht="35.1" customHeight="1" spans="2:29">
      <c r="B80" s="100" t="s">
        <v>85</v>
      </c>
      <c r="C80" s="108"/>
      <c r="D80" s="11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6"/>
        <v>0</v>
      </c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2">
        <f t="shared" si="13"/>
        <v>0</v>
      </c>
    </row>
    <row r="81" s="10" customFormat="1" ht="35.1" customHeight="1" spans="2:29">
      <c r="B81" s="97" t="s">
        <v>86</v>
      </c>
      <c r="C81" s="107"/>
      <c r="D81" s="120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6"/>
        <v>0</v>
      </c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2">
        <f t="shared" si="13"/>
        <v>0</v>
      </c>
    </row>
    <row r="82" s="10" customFormat="1" ht="35.1" customHeight="1" spans="2:29">
      <c r="B82" s="100" t="s">
        <v>87</v>
      </c>
      <c r="C82" s="108"/>
      <c r="D82" s="11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6"/>
        <v>0</v>
      </c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2">
        <f t="shared" si="13"/>
        <v>0</v>
      </c>
    </row>
    <row r="83" s="10" customFormat="1" ht="35.1" customHeight="1" spans="2:29">
      <c r="B83" s="109" t="s">
        <v>88</v>
      </c>
      <c r="C83" s="110">
        <f>+C10+C16+C26+C36+C44+C52+C62+C67+C70</f>
        <v>2403578297</v>
      </c>
      <c r="D83" s="110">
        <f>+D10+D16+D26+D36+D44+D52+D62+D67+D70</f>
        <v>-1607869</v>
      </c>
      <c r="E83" s="53"/>
      <c r="F83" s="54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5">
        <f t="shared" si="6"/>
        <v>0</v>
      </c>
      <c r="R83" s="110">
        <f t="shared" ref="R83:AB83" si="14">+R10+R16+R26+R36+R44+R52+R62+R67+R70</f>
        <v>59347772.68</v>
      </c>
      <c r="S83" s="110">
        <f t="shared" si="14"/>
        <v>71310108.34</v>
      </c>
      <c r="T83" s="110">
        <f t="shared" si="14"/>
        <v>325941464.73</v>
      </c>
      <c r="U83" s="110">
        <f t="shared" si="14"/>
        <v>322059301.45</v>
      </c>
      <c r="V83" s="110">
        <f t="shared" si="14"/>
        <v>117510627.82</v>
      </c>
      <c r="W83" s="110">
        <f t="shared" si="14"/>
        <v>85522503.05</v>
      </c>
      <c r="X83" s="110">
        <f t="shared" si="14"/>
        <v>82936856.97</v>
      </c>
      <c r="Y83" s="110">
        <f t="shared" si="14"/>
        <v>82512694.84</v>
      </c>
      <c r="Z83" s="110">
        <f t="shared" si="14"/>
        <v>171276133.12</v>
      </c>
      <c r="AA83" s="110">
        <f t="shared" si="14"/>
        <v>117304213.67</v>
      </c>
      <c r="AB83" s="110">
        <f t="shared" si="14"/>
        <v>166995587.19</v>
      </c>
      <c r="AC83" s="110">
        <f>+AC62+AC52+AC26+AC16+AC10+AC36</f>
        <v>1602717263.86</v>
      </c>
    </row>
    <row r="84" ht="18.75" spans="2:29">
      <c r="B84" s="111" t="s">
        <v>124</v>
      </c>
      <c r="C84" s="8"/>
      <c r="J84" s="122"/>
      <c r="AC84" s="91"/>
    </row>
    <row r="85" ht="18.75" spans="2:29">
      <c r="B85" s="112" t="s">
        <v>90</v>
      </c>
      <c r="C85" s="91"/>
      <c r="J85" s="91"/>
      <c r="M85" s="113"/>
      <c r="U85" s="91"/>
      <c r="V85" s="91"/>
      <c r="W85" s="91"/>
      <c r="X85" s="91"/>
      <c r="Y85" s="91"/>
      <c r="Z85" s="91"/>
      <c r="AA85" s="91"/>
      <c r="AB85" s="91"/>
    </row>
    <row r="86" ht="37.5" spans="2:29">
      <c r="B86" s="112" t="s">
        <v>91</v>
      </c>
      <c r="AC86" s="91"/>
    </row>
    <row r="87" ht="18.75" spans="2:29">
      <c r="B87" s="112" t="s">
        <v>92</v>
      </c>
    </row>
    <row r="88" ht="18.75" spans="2:29">
      <c r="B88" s="112" t="s">
        <v>93</v>
      </c>
    </row>
    <row r="89" ht="18.75" spans="2:29">
      <c r="B89" s="112" t="s">
        <v>94</v>
      </c>
    </row>
    <row r="90" ht="18.75" spans="2:29">
      <c r="B90" s="112" t="s">
        <v>95</v>
      </c>
    </row>
    <row r="91" spans="2:29">
      <c r="B91" s="114"/>
    </row>
    <row r="92" spans="2:29">
      <c r="B92" s="114"/>
    </row>
    <row r="93" spans="2:29">
      <c r="B93" s="114"/>
    </row>
    <row r="94" ht="24.95" customHeight="1" spans="2:29">
      <c r="B94" s="62" t="s">
        <v>129</v>
      </c>
      <c r="C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W94" s="57"/>
      <c r="X94" s="57"/>
      <c r="Y94" s="58" t="s">
        <v>101</v>
      </c>
      <c r="Z94" s="58"/>
      <c r="AA94" s="58"/>
      <c r="AB94" s="57"/>
      <c r="AC94" s="57"/>
    </row>
    <row r="95" ht="23.25" customHeight="1" spans="2:29">
      <c r="B95" s="115" t="s">
        <v>137</v>
      </c>
      <c r="C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W95" s="116"/>
      <c r="X95" s="116"/>
      <c r="Y95" s="115" t="s">
        <v>132</v>
      </c>
      <c r="Z95" s="115"/>
      <c r="AA95" s="115"/>
      <c r="AB95" s="116"/>
      <c r="AC95" s="116"/>
    </row>
    <row r="97" ht="33.75" customHeight="1" spans="1:29">
      <c r="A97" s="56" t="s">
        <v>97</v>
      </c>
    </row>
    <row r="98" ht="23.25" customHeight="1" spans="1:29">
      <c r="B98" s="62" t="s">
        <v>138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ht="18.75" spans="1:29">
      <c r="B99" s="115" t="s">
        <v>139</v>
      </c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</row>
    <row r="100" ht="23.25" spans="1:29">
      <c r="B100" s="62"/>
      <c r="C100" s="62"/>
      <c r="D100" s="62"/>
    </row>
    <row r="101" ht="23.25" spans="1:29">
      <c r="B101" s="63" t="s">
        <v>98</v>
      </c>
      <c r="C101" s="63"/>
      <c r="D101" s="63"/>
    </row>
    <row r="102" ht="21" customHeight="1" spans="1:29">
      <c r="B102" s="61" t="s">
        <v>99</v>
      </c>
      <c r="C102" s="61"/>
    </row>
    <row r="103" ht="21" spans="1:29">
      <c r="B103" s="64"/>
      <c r="C103" s="64"/>
      <c r="D103" s="64"/>
    </row>
  </sheetData>
  <mergeCells count="16">
    <mergeCell ref="B1:AC1"/>
    <mergeCell ref="B2:AC2"/>
    <mergeCell ref="B3:AC3"/>
    <mergeCell ref="B4:AC4"/>
    <mergeCell ref="B5:AC5"/>
    <mergeCell ref="E7:Q7"/>
    <mergeCell ref="R7:U7"/>
    <mergeCell ref="Y94:Z94"/>
    <mergeCell ref="Y95:Z95"/>
    <mergeCell ref="B98:AC98"/>
    <mergeCell ref="B99:AC99"/>
    <mergeCell ref="B100:D100"/>
    <mergeCell ref="B103:D103"/>
    <mergeCell ref="B7:B8"/>
    <mergeCell ref="C7:C8"/>
    <mergeCell ref="D7:D8"/>
  </mergeCells>
  <pageMargins left="0.62992125984252" right="0.31496062992126" top="0.62992125984252" bottom="0.393700787401575" header="0.669291338582677" footer="0.31496062992126"/>
  <pageSetup paperSize="1" scale="60" fitToHeight="0" orientation="portrait"/>
  <headerFooter>
    <oddFooter>&amp;CPágina &amp;P</oddFooter>
  </headerFooter>
  <rowBreaks count="2" manualBreakCount="2">
    <brk id="36" max="25" man="1"/>
    <brk id="64" max="25" man="1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1" defaultRowHeight="15"/>
  <sheetData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03"/>
  <sheetViews>
    <sheetView view="pageBreakPreview" zoomScaleNormal="100" topLeftCell="B1" workbookViewId="0">
      <selection activeCell="B1" sqref="B1:AB93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27.7142857142857" customWidth="1"/>
    <col min="4" max="4" width="24" customWidth="1"/>
    <col min="5" max="5" width="19.8571428571429" hidden="1" customWidth="1"/>
    <col min="6" max="6" width="17" hidden="1" customWidth="1"/>
    <col min="7" max="7" width="20.1428571428571" hidden="1" customWidth="1"/>
    <col min="8" max="8" width="21" hidden="1" customWidth="1"/>
    <col min="9" max="9" width="18.8571428571429" hidden="1" customWidth="1"/>
    <col min="10" max="10" width="17.2857142857143" hidden="1" customWidth="1"/>
    <col min="11" max="11" width="16" hidden="1" customWidth="1"/>
    <col min="12" max="12" width="21.2857142857143" hidden="1" customWidth="1"/>
    <col min="13" max="13" width="20.4285714285714" hidden="1" customWidth="1"/>
    <col min="14" max="14" width="18.7142857142857" hidden="1" customWidth="1"/>
    <col min="15" max="15" width="17.8571428571429" hidden="1" customWidth="1"/>
    <col min="16" max="16" width="19.4285714285714" hidden="1" customWidth="1"/>
    <col min="17" max="17" width="20.2857142857143" hidden="1" customWidth="1"/>
    <col min="18" max="19" width="22.4285714285714" hidden="1" customWidth="1"/>
    <col min="20" max="20" width="23.5714285714286" hidden="1" customWidth="1"/>
    <col min="21" max="21" width="22.8571428571429" hidden="1" customWidth="1"/>
    <col min="22" max="22" width="22.7142857142857" hidden="1" customWidth="1"/>
    <col min="23" max="27" width="24" hidden="1" customWidth="1"/>
    <col min="28" max="28" width="26.7142857142857" customWidth="1"/>
  </cols>
  <sheetData>
    <row r="1" ht="28.5" customHeight="1" spans="2:2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ht="21" customHeight="1" spans="2:2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ht="18.75" customHeight="1" spans="2:28">
      <c r="B3" s="17">
        <v>2025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ht="15.75" customHeight="1" spans="2:28">
      <c r="B4" s="89" t="s">
        <v>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ht="15.75" customHeight="1" spans="2:28"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2:28">
      <c r="Y6" s="91"/>
      <c r="Z6" s="91"/>
      <c r="AA6" s="91"/>
    </row>
    <row r="7" customHeight="1" spans="2:2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117" t="s">
        <v>113</v>
      </c>
      <c r="S7" s="118"/>
      <c r="T7" s="118"/>
      <c r="U7" s="92"/>
      <c r="V7" s="92"/>
      <c r="W7" s="92"/>
      <c r="X7" s="92"/>
      <c r="Y7" s="92"/>
      <c r="Z7" s="92"/>
      <c r="AA7" s="92"/>
      <c r="AB7" s="93"/>
    </row>
    <row r="8" ht="30" customHeight="1" spans="2:28">
      <c r="B8" s="94"/>
      <c r="C8" s="95"/>
      <c r="D8" s="95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  <c r="R8" s="96" t="s">
        <v>114</v>
      </c>
      <c r="S8" s="96" t="s">
        <v>9</v>
      </c>
      <c r="T8" s="96" t="s">
        <v>10</v>
      </c>
      <c r="U8" s="96" t="s">
        <v>11</v>
      </c>
      <c r="V8" s="96" t="s">
        <v>12</v>
      </c>
      <c r="W8" s="96" t="s">
        <v>13</v>
      </c>
      <c r="X8" s="96" t="s">
        <v>115</v>
      </c>
      <c r="Y8" s="96" t="s">
        <v>134</v>
      </c>
      <c r="Z8" s="96" t="s">
        <v>117</v>
      </c>
      <c r="AA8" s="96" t="s">
        <v>118</v>
      </c>
      <c r="AB8" s="96" t="s">
        <v>121</v>
      </c>
    </row>
    <row r="9" s="10" customFormat="1" ht="35.1" customHeight="1" spans="2:28">
      <c r="B9" s="97" t="s">
        <v>15</v>
      </c>
      <c r="C9" s="98">
        <f>+C10+C16+C26+C36+C44+C52+C62+C67+C70</f>
        <v>2403578297</v>
      </c>
      <c r="D9" s="98">
        <f>+D10+D16+D26+D36+D44+D52+D62+D67+D70</f>
        <v>-1200000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>
        <f>+E9+F9+G9+H9+I9+J9+K9+L9+M9+N9+O9+P9</f>
        <v>0</v>
      </c>
      <c r="R9" s="98">
        <f t="shared" ref="R9:AA9" si="0">+R10+R16+R26+R36+R44+R52+R62+R67+R70</f>
        <v>59347772.68</v>
      </c>
      <c r="S9" s="98">
        <f t="shared" si="0"/>
        <v>71310108.34</v>
      </c>
      <c r="T9" s="98">
        <f t="shared" si="0"/>
        <v>325941464.73</v>
      </c>
      <c r="U9" s="98">
        <f t="shared" si="0"/>
        <v>322059301.45</v>
      </c>
      <c r="V9" s="98">
        <f t="shared" si="0"/>
        <v>117510627.82</v>
      </c>
      <c r="W9" s="98">
        <f t="shared" si="0"/>
        <v>85522503.05</v>
      </c>
      <c r="X9" s="98">
        <f t="shared" si="0"/>
        <v>82936856.97</v>
      </c>
      <c r="Y9" s="98">
        <f t="shared" si="0"/>
        <v>82512694.84</v>
      </c>
      <c r="Z9" s="98">
        <f t="shared" si="0"/>
        <v>171276133.12</v>
      </c>
      <c r="AA9" s="98">
        <f t="shared" si="0"/>
        <v>117304213.67</v>
      </c>
      <c r="AB9" s="98">
        <f>+U9+R9+S9+T9+W9+V9+Y9+X9+AA9+Z9</f>
        <v>1435721676.67</v>
      </c>
    </row>
    <row r="10" s="10" customFormat="1" ht="35.1" customHeight="1" spans="2:28">
      <c r="B10" s="97" t="s">
        <v>16</v>
      </c>
      <c r="C10" s="99">
        <f>SUM(C11:C15)</f>
        <v>754531197</v>
      </c>
      <c r="D10" s="99">
        <f>SUM(D11:D15)</f>
        <v>56169359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6"/>
      <c r="Q10" s="35">
        <f>SUM(Q11:Q15)</f>
        <v>0</v>
      </c>
      <c r="R10" s="99">
        <f>+R11+R12+R15</f>
        <v>48481923.18</v>
      </c>
      <c r="S10" s="99">
        <f t="shared" ref="S10:Y10" si="1">+S11+S12+S15+S13</f>
        <v>49982211.83</v>
      </c>
      <c r="T10" s="99">
        <f t="shared" si="1"/>
        <v>55159103.66</v>
      </c>
      <c r="U10" s="99">
        <f t="shared" si="1"/>
        <v>50437544.05</v>
      </c>
      <c r="V10" s="99">
        <f t="shared" si="1"/>
        <v>88953437.75</v>
      </c>
      <c r="W10" s="99">
        <f t="shared" si="1"/>
        <v>53961166.64</v>
      </c>
      <c r="X10" s="99">
        <f t="shared" si="1"/>
        <v>53331098.37</v>
      </c>
      <c r="Y10" s="99">
        <f t="shared" si="1"/>
        <v>53433179.88</v>
      </c>
      <c r="Z10" s="99">
        <f>+Z11+Z12+Z15+Z13+Z14</f>
        <v>64767903.77</v>
      </c>
      <c r="AA10" s="99">
        <f>+AA11+AA12+AA15+AA13+AA14</f>
        <v>102243011.41</v>
      </c>
      <c r="AB10" s="99">
        <f>SUM(AB11:AB15)</f>
        <v>620750580.54</v>
      </c>
    </row>
    <row r="11" s="10" customFormat="1" ht="35.1" customHeight="1" spans="2:28">
      <c r="B11" s="100" t="s">
        <v>17</v>
      </c>
      <c r="C11" s="101">
        <v>576509282</v>
      </c>
      <c r="D11" s="119">
        <v>-3429755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39"/>
      <c r="P11" s="39"/>
      <c r="Q11" s="41">
        <f>+E11+F11+G11+H11+I11+J11+K11+L11+M11+N11+O11+P11</f>
        <v>0</v>
      </c>
      <c r="R11" s="101">
        <v>39048947.87</v>
      </c>
      <c r="S11" s="101">
        <v>40322256.66</v>
      </c>
      <c r="T11" s="101">
        <v>44731360.13</v>
      </c>
      <c r="U11" s="101">
        <v>40732516.87</v>
      </c>
      <c r="V11" s="101">
        <v>45136055.92</v>
      </c>
      <c r="W11" s="101">
        <v>43845709.61</v>
      </c>
      <c r="X11" s="101">
        <v>42495684.45</v>
      </c>
      <c r="Y11" s="101">
        <v>43358645.08</v>
      </c>
      <c r="Z11" s="101">
        <v>44506635.82</v>
      </c>
      <c r="AA11" s="101">
        <v>47706046.07</v>
      </c>
      <c r="AB11" s="102">
        <f>+U11+R11+S11+T11+W11+V11+Y11+X11+AA11+Z11</f>
        <v>431883858.48</v>
      </c>
    </row>
    <row r="12" s="10" customFormat="1" ht="35.1" customHeight="1" spans="2:28">
      <c r="B12" s="100" t="s">
        <v>18</v>
      </c>
      <c r="C12" s="101">
        <v>104006853</v>
      </c>
      <c r="D12" s="119">
        <v>46856617.5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9"/>
      <c r="P12" s="39"/>
      <c r="Q12" s="41">
        <f>+E12+F12+G12+H12+I12+J12+K12+L12+M12+N12+O12+P12</f>
        <v>0</v>
      </c>
      <c r="R12" s="101">
        <v>3494000</v>
      </c>
      <c r="S12" s="101">
        <v>3509000</v>
      </c>
      <c r="T12" s="101">
        <v>4293227.75</v>
      </c>
      <c r="U12" s="101">
        <v>3506000</v>
      </c>
      <c r="V12" s="101">
        <v>37417494.44</v>
      </c>
      <c r="W12" s="101">
        <v>3686000</v>
      </c>
      <c r="X12" s="101">
        <v>4623887.05</v>
      </c>
      <c r="Y12" s="101">
        <v>3450520.35</v>
      </c>
      <c r="Z12" s="101">
        <v>3771000</v>
      </c>
      <c r="AA12" s="101">
        <v>48094100</v>
      </c>
      <c r="AB12" s="102">
        <f t="shared" ref="AB12:AB75" si="2">+U12+R12+S12+T12+W12+V12+Y12+X12+AA12+Z12</f>
        <v>115845229.59</v>
      </c>
    </row>
    <row r="13" s="10" customFormat="1" ht="35.1" customHeight="1" spans="2:28">
      <c r="B13" s="100" t="s">
        <v>19</v>
      </c>
      <c r="C13" s="101">
        <v>0</v>
      </c>
      <c r="D13" s="119">
        <v>468000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9"/>
      <c r="P13" s="39"/>
      <c r="Q13" s="41">
        <f>+E13+F13+G13+H13+I13+J13+K13+L13+M13+N13+O13</f>
        <v>0</v>
      </c>
      <c r="R13" s="101">
        <v>0</v>
      </c>
      <c r="S13" s="101">
        <v>33612.8</v>
      </c>
      <c r="T13" s="101">
        <v>54845.22</v>
      </c>
      <c r="U13" s="101">
        <v>0</v>
      </c>
      <c r="V13" s="101">
        <v>5120.99</v>
      </c>
      <c r="W13" s="101">
        <v>20983.76</v>
      </c>
      <c r="X13" s="101">
        <v>5164.81</v>
      </c>
      <c r="Y13" s="101">
        <v>0</v>
      </c>
      <c r="Z13" s="101">
        <v>40966.93</v>
      </c>
      <c r="AA13" s="101">
        <v>13376</v>
      </c>
      <c r="AB13" s="102">
        <f t="shared" si="2"/>
        <v>174070.51</v>
      </c>
    </row>
    <row r="14" s="10" customFormat="1" ht="35.1" customHeight="1" spans="2:28">
      <c r="B14" s="100" t="s">
        <v>20</v>
      </c>
      <c r="C14" s="101">
        <v>10000000</v>
      </c>
      <c r="D14" s="11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9"/>
      <c r="P14" s="39"/>
      <c r="Q14" s="41">
        <f>+E14+F14+G14+H14+I14+J14+K14+L14+M14+N14+O14</f>
        <v>0</v>
      </c>
      <c r="R14" s="101"/>
      <c r="S14" s="101"/>
      <c r="T14" s="101"/>
      <c r="U14" s="101"/>
      <c r="V14" s="101"/>
      <c r="W14" s="101"/>
      <c r="X14" s="101"/>
      <c r="Y14" s="101"/>
      <c r="Z14" s="101">
        <v>9958158</v>
      </c>
      <c r="AA14" s="101"/>
      <c r="AB14" s="102">
        <f t="shared" si="2"/>
        <v>9958158</v>
      </c>
    </row>
    <row r="15" s="10" customFormat="1" ht="35.1" customHeight="1" spans="2:28">
      <c r="B15" s="100" t="s">
        <v>21</v>
      </c>
      <c r="C15" s="101">
        <v>64015062</v>
      </c>
      <c r="D15" s="119">
        <v>12274496.5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9"/>
      <c r="P15" s="39"/>
      <c r="Q15" s="41">
        <f>+E15+F15+G15+H15+I15+J15+K15+L15+M15+N15+O15+P15</f>
        <v>0</v>
      </c>
      <c r="R15" s="101">
        <v>5938975.31</v>
      </c>
      <c r="S15" s="101">
        <v>6117342.37</v>
      </c>
      <c r="T15" s="101">
        <v>6079670.56</v>
      </c>
      <c r="U15" s="101">
        <v>6199027.18</v>
      </c>
      <c r="V15" s="101">
        <v>6394766.4</v>
      </c>
      <c r="W15" s="101">
        <v>6408473.27</v>
      </c>
      <c r="X15" s="101">
        <v>6206362.06</v>
      </c>
      <c r="Y15" s="101">
        <v>6624014.45</v>
      </c>
      <c r="Z15" s="101">
        <v>6491143.02</v>
      </c>
      <c r="AA15" s="101">
        <v>6429489.34</v>
      </c>
      <c r="AB15" s="102">
        <f t="shared" si="2"/>
        <v>62889263.96</v>
      </c>
    </row>
    <row r="16" s="10" customFormat="1" ht="35.1" customHeight="1" spans="2:28">
      <c r="B16" s="97" t="s">
        <v>22</v>
      </c>
      <c r="C16" s="99">
        <f>SUM(C17:C25)</f>
        <v>1375962044</v>
      </c>
      <c r="D16" s="99">
        <f>SUM(D17:D25)</f>
        <v>-120545966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>
        <f>+Q17+Q18+Q19+Q20+Q21+Q22+Q23+Q24+Q25</f>
        <v>0</v>
      </c>
      <c r="R16" s="99">
        <f t="shared" ref="R16:Y16" si="3">SUM(R17:R25)</f>
        <v>6382203.16</v>
      </c>
      <c r="S16" s="99">
        <f t="shared" si="3"/>
        <v>15822013.58</v>
      </c>
      <c r="T16" s="99">
        <f t="shared" si="3"/>
        <v>263123579.58</v>
      </c>
      <c r="U16" s="99">
        <f t="shared" si="3"/>
        <v>253544296.14</v>
      </c>
      <c r="V16" s="99">
        <f t="shared" si="3"/>
        <v>23063800.88</v>
      </c>
      <c r="W16" s="99">
        <f t="shared" si="3"/>
        <v>22284446.31</v>
      </c>
      <c r="X16" s="99">
        <f t="shared" ref="X16" si="4">SUM(X17:X25)</f>
        <v>26067176.74</v>
      </c>
      <c r="Y16" s="99">
        <f t="shared" si="3"/>
        <v>21849208.51</v>
      </c>
      <c r="Z16" s="99">
        <f t="shared" ref="Z16:AA16" si="5">SUM(Z17:Z25)</f>
        <v>68289085.64</v>
      </c>
      <c r="AA16" s="99">
        <f t="shared" si="5"/>
        <v>4799093.39</v>
      </c>
      <c r="AB16" s="103">
        <f>+AB17+AB18+AB19+AB20+AB21+AB22+AB23+AB24+AB25</f>
        <v>705224903.93</v>
      </c>
    </row>
    <row r="17" s="10" customFormat="1" ht="35.1" customHeight="1" spans="2:28">
      <c r="B17" s="100" t="s">
        <v>23</v>
      </c>
      <c r="C17" s="101">
        <v>88764349</v>
      </c>
      <c r="D17" s="119">
        <v>22105000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39"/>
      <c r="P17" s="39"/>
      <c r="Q17" s="41">
        <f t="shared" ref="Q17:Q83" si="6">+E17+F17+G17+H17+I17+J17+K17+L17+M17+N17+O17+P17</f>
        <v>0</v>
      </c>
      <c r="R17" s="101">
        <v>3231502.33</v>
      </c>
      <c r="S17" s="101">
        <v>3619225.9</v>
      </c>
      <c r="T17" s="101">
        <v>5246597.81</v>
      </c>
      <c r="U17" s="101">
        <v>4616336.68</v>
      </c>
      <c r="V17" s="101">
        <v>5333348.12</v>
      </c>
      <c r="W17" s="101">
        <v>4818595.75</v>
      </c>
      <c r="X17" s="101">
        <v>11027409.63</v>
      </c>
      <c r="Y17" s="101">
        <v>5699715.58</v>
      </c>
      <c r="Z17" s="101">
        <v>3193535.69</v>
      </c>
      <c r="AA17" s="101">
        <v>2973642.67</v>
      </c>
      <c r="AB17" s="102">
        <f t="shared" si="2"/>
        <v>49759910.16</v>
      </c>
    </row>
    <row r="18" s="10" customFormat="1" ht="35.1" customHeight="1" spans="2:28">
      <c r="B18" s="100" t="s">
        <v>24</v>
      </c>
      <c r="C18" s="101">
        <v>893080000</v>
      </c>
      <c r="D18" s="119">
        <v>-256169359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9"/>
      <c r="P18" s="39"/>
      <c r="Q18" s="41">
        <f t="shared" si="6"/>
        <v>0</v>
      </c>
      <c r="R18" s="101"/>
      <c r="S18" s="101">
        <v>120800</v>
      </c>
      <c r="T18" s="101">
        <v>242576006.25</v>
      </c>
      <c r="U18" s="101">
        <v>231013475.76</v>
      </c>
      <c r="V18" s="101">
        <v>1079220.05</v>
      </c>
      <c r="W18" s="101">
        <v>866666.65</v>
      </c>
      <c r="X18" s="101">
        <v>798303.4</v>
      </c>
      <c r="Y18" s="101">
        <v>11770.5</v>
      </c>
      <c r="Z18" s="101">
        <v>0</v>
      </c>
      <c r="AA18" s="101">
        <v>50000</v>
      </c>
      <c r="AB18" s="102">
        <f t="shared" si="2"/>
        <v>476516242.61</v>
      </c>
    </row>
    <row r="19" s="10" customFormat="1" ht="35.1" customHeight="1" spans="2:28">
      <c r="B19" s="100" t="s">
        <v>25</v>
      </c>
      <c r="C19" s="101">
        <v>40200000</v>
      </c>
      <c r="D19" s="119">
        <v>-725710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9"/>
      <c r="P19" s="39"/>
      <c r="Q19" s="41">
        <f t="shared" si="6"/>
        <v>0</v>
      </c>
      <c r="R19" s="101">
        <v>66758.4</v>
      </c>
      <c r="S19" s="101">
        <v>1299356.7</v>
      </c>
      <c r="T19" s="101">
        <v>685251.5</v>
      </c>
      <c r="U19" s="101">
        <v>1194031.5</v>
      </c>
      <c r="V19" s="101">
        <v>3552178.71</v>
      </c>
      <c r="W19" s="101">
        <v>1115639.5</v>
      </c>
      <c r="X19" s="101">
        <v>295974.6</v>
      </c>
      <c r="Y19" s="101">
        <v>1643192.78</v>
      </c>
      <c r="Z19" s="101">
        <v>1075361.7</v>
      </c>
      <c r="AA19" s="101">
        <v>716179.07</v>
      </c>
      <c r="AB19" s="102">
        <f t="shared" si="2"/>
        <v>11643924.46</v>
      </c>
    </row>
    <row r="20" s="10" customFormat="1" ht="35.1" customHeight="1" spans="2:28">
      <c r="B20" s="100" t="s">
        <v>26</v>
      </c>
      <c r="C20" s="101">
        <v>1200000</v>
      </c>
      <c r="D20" s="119">
        <v>5126980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39"/>
      <c r="P20" s="39"/>
      <c r="Q20" s="41">
        <f t="shared" si="6"/>
        <v>0</v>
      </c>
      <c r="R20" s="101"/>
      <c r="S20" s="101"/>
      <c r="T20" s="101"/>
      <c r="U20" s="101">
        <v>643050.47</v>
      </c>
      <c r="V20" s="101">
        <v>0</v>
      </c>
      <c r="W20" s="101">
        <v>385707.5</v>
      </c>
      <c r="X20" s="101"/>
      <c r="Y20" s="101">
        <v>884686.37</v>
      </c>
      <c r="Z20" s="101">
        <v>0</v>
      </c>
      <c r="AA20" s="101">
        <v>0</v>
      </c>
      <c r="AB20" s="102">
        <f t="shared" si="2"/>
        <v>1913444.34</v>
      </c>
    </row>
    <row r="21" s="10" customFormat="1" ht="35.1" customHeight="1" spans="2:28">
      <c r="B21" s="100" t="s">
        <v>27</v>
      </c>
      <c r="C21" s="101">
        <v>160450000</v>
      </c>
      <c r="D21" s="119">
        <v>62182993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39"/>
      <c r="P21" s="39"/>
      <c r="Q21" s="41">
        <f t="shared" si="6"/>
        <v>0</v>
      </c>
      <c r="R21" s="101">
        <v>717956.31</v>
      </c>
      <c r="S21" s="101">
        <v>1212021.4</v>
      </c>
      <c r="T21" s="101">
        <v>596581.16</v>
      </c>
      <c r="U21" s="101">
        <v>9552279.4</v>
      </c>
      <c r="V21" s="101">
        <v>1187164.17</v>
      </c>
      <c r="W21" s="101">
        <v>558942.4</v>
      </c>
      <c r="X21" s="101">
        <v>1198898.9</v>
      </c>
      <c r="Y21" s="101">
        <v>809059.53</v>
      </c>
      <c r="Z21" s="101">
        <v>46012827.79</v>
      </c>
      <c r="AA21" s="101">
        <v>-8759852.91</v>
      </c>
      <c r="AB21" s="102">
        <f t="shared" si="2"/>
        <v>53085878.15</v>
      </c>
    </row>
    <row r="22" s="10" customFormat="1" ht="35.1" customHeight="1" spans="2:28">
      <c r="B22" s="100" t="s">
        <v>28</v>
      </c>
      <c r="C22" s="101">
        <v>34000000</v>
      </c>
      <c r="D22" s="119">
        <v>7123903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39"/>
      <c r="P22" s="39"/>
      <c r="Q22" s="41">
        <f t="shared" si="6"/>
        <v>0</v>
      </c>
      <c r="R22" s="101">
        <v>2196353.98</v>
      </c>
      <c r="S22" s="101">
        <v>1860015.5</v>
      </c>
      <c r="T22" s="101">
        <v>2603654.92</v>
      </c>
      <c r="U22" s="101">
        <v>1904724.04</v>
      </c>
      <c r="V22" s="101">
        <v>2415949.48</v>
      </c>
      <c r="W22" s="101">
        <v>1663672.13</v>
      </c>
      <c r="X22" s="101">
        <v>1401982.61</v>
      </c>
      <c r="Y22" s="101">
        <v>2681042.76</v>
      </c>
      <c r="Z22" s="101">
        <v>8379853.52</v>
      </c>
      <c r="AA22" s="101">
        <v>2039426.21</v>
      </c>
      <c r="AB22" s="102">
        <f t="shared" si="2"/>
        <v>27146675.15</v>
      </c>
    </row>
    <row r="23" s="10" customFormat="1" ht="35.1" customHeight="1" spans="2:28">
      <c r="B23" s="104" t="s">
        <v>29</v>
      </c>
      <c r="C23" s="101">
        <v>23050000</v>
      </c>
      <c r="D23" s="119">
        <v>7450000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39"/>
      <c r="P23" s="39"/>
      <c r="Q23" s="41">
        <f t="shared" si="6"/>
        <v>0</v>
      </c>
      <c r="R23" s="101"/>
      <c r="S23" s="101">
        <v>443515.93</v>
      </c>
      <c r="T23" s="101">
        <v>1767250.97</v>
      </c>
      <c r="U23" s="101">
        <v>881170.23</v>
      </c>
      <c r="V23" s="101">
        <v>102212.48</v>
      </c>
      <c r="W23" s="101">
        <v>1463966.82</v>
      </c>
      <c r="X23" s="101">
        <v>5059603.64</v>
      </c>
      <c r="Y23" s="101">
        <v>2787095.42</v>
      </c>
      <c r="Z23" s="101">
        <v>733640.78</v>
      </c>
      <c r="AA23" s="101">
        <v>1684599.15</v>
      </c>
      <c r="AB23" s="102">
        <f t="shared" si="2"/>
        <v>14923055.42</v>
      </c>
    </row>
    <row r="24" s="10" customFormat="1" ht="35.1" customHeight="1" spans="2:28">
      <c r="B24" s="104" t="s">
        <v>30</v>
      </c>
      <c r="C24" s="101">
        <v>55017695</v>
      </c>
      <c r="D24" s="119">
        <v>21230227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39"/>
      <c r="P24" s="39"/>
      <c r="Q24" s="41">
        <f t="shared" si="6"/>
        <v>0</v>
      </c>
      <c r="R24" s="102">
        <v>169632.14</v>
      </c>
      <c r="S24" s="102">
        <v>5062041.22</v>
      </c>
      <c r="T24" s="102">
        <v>1475651.37</v>
      </c>
      <c r="U24" s="102">
        <v>917370.3</v>
      </c>
      <c r="V24" s="102">
        <v>3649712.35</v>
      </c>
      <c r="W24" s="102">
        <v>420481</v>
      </c>
      <c r="X24" s="102">
        <v>1037600.6</v>
      </c>
      <c r="Y24" s="102">
        <v>1394784.02</v>
      </c>
      <c r="Z24" s="102">
        <v>2466480</v>
      </c>
      <c r="AA24" s="102">
        <v>400466.4</v>
      </c>
      <c r="AB24" s="102">
        <f t="shared" si="2"/>
        <v>16994219.4</v>
      </c>
    </row>
    <row r="25" s="10" customFormat="1" ht="35.1" customHeight="1" spans="2:28">
      <c r="B25" s="100" t="s">
        <v>31</v>
      </c>
      <c r="C25" s="101">
        <v>80200000</v>
      </c>
      <c r="D25" s="119">
        <v>11130000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39"/>
      <c r="P25" s="39"/>
      <c r="Q25" s="41">
        <f t="shared" si="6"/>
        <v>0</v>
      </c>
      <c r="R25" s="101">
        <v>0</v>
      </c>
      <c r="S25" s="101">
        <v>2205036.93</v>
      </c>
      <c r="T25" s="101">
        <v>8172585.6</v>
      </c>
      <c r="U25" s="101">
        <v>2821857.76</v>
      </c>
      <c r="V25" s="101">
        <v>5744015.52</v>
      </c>
      <c r="W25" s="101">
        <v>10990774.56</v>
      </c>
      <c r="X25" s="101">
        <v>5247403.36</v>
      </c>
      <c r="Y25" s="101">
        <v>5937861.55</v>
      </c>
      <c r="Z25" s="101">
        <v>6427386.16</v>
      </c>
      <c r="AA25" s="101">
        <v>5694632.8</v>
      </c>
      <c r="AB25" s="102">
        <f t="shared" si="2"/>
        <v>53241554.24</v>
      </c>
    </row>
    <row r="26" s="10" customFormat="1" ht="35.1" customHeight="1" spans="2:28">
      <c r="B26" s="97" t="s">
        <v>32</v>
      </c>
      <c r="C26" s="99">
        <f>SUM(C27:C35)</f>
        <v>93885056</v>
      </c>
      <c r="D26" s="99">
        <f>SUM(D27:D35)</f>
        <v>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6">
        <f>+Q27+Q28+Q29+Q30+Q31+Q33+Q32+Q34+Q35+Q36+Q37</f>
        <v>0</v>
      </c>
      <c r="R26" s="99">
        <f t="shared" ref="R26:W26" si="7">SUM(R27:R35)</f>
        <v>4483646.34</v>
      </c>
      <c r="S26" s="99">
        <f t="shared" si="7"/>
        <v>397190.93</v>
      </c>
      <c r="T26" s="99">
        <f t="shared" si="7"/>
        <v>4383637.66</v>
      </c>
      <c r="U26" s="99">
        <f t="shared" si="7"/>
        <v>5248068.26</v>
      </c>
      <c r="V26" s="99">
        <f t="shared" si="7"/>
        <v>1441463.91</v>
      </c>
      <c r="W26" s="99">
        <f t="shared" si="7"/>
        <v>8776890.09</v>
      </c>
      <c r="X26" s="99">
        <f t="shared" ref="X26:AA26" si="8">SUM(X27:X35)</f>
        <v>2209709.46</v>
      </c>
      <c r="Y26" s="99">
        <f t="shared" si="8"/>
        <v>4002687.43</v>
      </c>
      <c r="Z26" s="99">
        <f t="shared" si="8"/>
        <v>4214334.11</v>
      </c>
      <c r="AA26" s="99">
        <f t="shared" si="8"/>
        <v>9883130.92</v>
      </c>
      <c r="AB26" s="103">
        <f>+AB27+AB28+AB29+AB30+AB31+AB32+AB33+AB34+AB35</f>
        <v>45040759.11</v>
      </c>
    </row>
    <row r="27" s="10" customFormat="1" ht="35.1" customHeight="1" spans="2:28">
      <c r="B27" s="100" t="s">
        <v>33</v>
      </c>
      <c r="C27" s="101">
        <v>12300020</v>
      </c>
      <c r="D27" s="119">
        <v>-1800000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39"/>
      <c r="Q27" s="41">
        <f t="shared" si="6"/>
        <v>0</v>
      </c>
      <c r="R27" s="101">
        <v>0</v>
      </c>
      <c r="S27" s="101">
        <v>39715</v>
      </c>
      <c r="T27" s="101">
        <v>58280</v>
      </c>
      <c r="U27" s="101">
        <v>788828.79</v>
      </c>
      <c r="V27" s="101">
        <v>381944.99</v>
      </c>
      <c r="W27" s="101">
        <v>0</v>
      </c>
      <c r="X27" s="101">
        <v>86745</v>
      </c>
      <c r="Y27" s="101">
        <v>467049.24</v>
      </c>
      <c r="Z27" s="101">
        <v>177643.44</v>
      </c>
      <c r="AA27" s="101">
        <v>73110</v>
      </c>
      <c r="AB27" s="102">
        <f t="shared" si="2"/>
        <v>2073316.46</v>
      </c>
    </row>
    <row r="28" s="10" customFormat="1" ht="35.1" customHeight="1" spans="2:28">
      <c r="B28" s="100" t="s">
        <v>34</v>
      </c>
      <c r="C28" s="101">
        <v>11020000</v>
      </c>
      <c r="D28" s="11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39"/>
      <c r="Q28" s="41">
        <f t="shared" si="6"/>
        <v>0</v>
      </c>
      <c r="R28" s="101">
        <v>0</v>
      </c>
      <c r="S28" s="101">
        <v>0</v>
      </c>
      <c r="T28" s="101">
        <v>596608</v>
      </c>
      <c r="U28" s="101">
        <v>0</v>
      </c>
      <c r="V28" s="101">
        <v>0</v>
      </c>
      <c r="W28" s="101">
        <v>0</v>
      </c>
      <c r="X28" s="101">
        <v>0</v>
      </c>
      <c r="Y28" s="101">
        <v>3030.24</v>
      </c>
      <c r="Z28" s="101">
        <v>0</v>
      </c>
      <c r="AA28" s="101">
        <v>0</v>
      </c>
      <c r="AB28" s="102">
        <f t="shared" si="2"/>
        <v>599638.24</v>
      </c>
    </row>
    <row r="29" s="10" customFormat="1" ht="35.1" customHeight="1" spans="2:28">
      <c r="B29" s="100" t="s">
        <v>35</v>
      </c>
      <c r="C29" s="101">
        <v>6330000</v>
      </c>
      <c r="D29" s="119"/>
      <c r="E29" s="40"/>
      <c r="F29" s="40"/>
      <c r="G29" s="40"/>
      <c r="H29" s="40"/>
      <c r="I29" s="40"/>
      <c r="J29" s="40"/>
      <c r="K29" s="40"/>
      <c r="L29" s="105"/>
      <c r="M29" s="40"/>
      <c r="N29" s="40"/>
      <c r="O29" s="40"/>
      <c r="P29" s="39"/>
      <c r="Q29" s="41">
        <f t="shared" si="6"/>
        <v>0</v>
      </c>
      <c r="R29" s="101">
        <v>0</v>
      </c>
      <c r="S29" s="101">
        <v>0</v>
      </c>
      <c r="T29" s="101">
        <v>0</v>
      </c>
      <c r="U29" s="101">
        <v>1113095.77</v>
      </c>
      <c r="V29" s="101">
        <v>0</v>
      </c>
      <c r="W29" s="101">
        <v>0</v>
      </c>
      <c r="X29" s="101">
        <v>597001.53</v>
      </c>
      <c r="Y29" s="101">
        <v>3962</v>
      </c>
      <c r="Z29" s="101">
        <v>0</v>
      </c>
      <c r="AA29" s="101">
        <v>0</v>
      </c>
      <c r="AB29" s="102">
        <f t="shared" si="2"/>
        <v>1714059.3</v>
      </c>
    </row>
    <row r="30" s="10" customFormat="1" ht="35.1" customHeight="1" spans="2:28">
      <c r="B30" s="100" t="s">
        <v>36</v>
      </c>
      <c r="C30" s="101">
        <v>500000</v>
      </c>
      <c r="D30" s="119">
        <v>600000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39"/>
      <c r="Q30" s="41">
        <f t="shared" si="6"/>
        <v>0</v>
      </c>
      <c r="R30" s="101">
        <v>0</v>
      </c>
      <c r="S30" s="101">
        <v>0</v>
      </c>
      <c r="T30" s="101">
        <v>0</v>
      </c>
      <c r="U30" s="101">
        <v>0</v>
      </c>
      <c r="V30" s="101">
        <v>0</v>
      </c>
      <c r="W30" s="101">
        <v>0</v>
      </c>
      <c r="X30" s="101"/>
      <c r="Y30" s="101">
        <v>1898</v>
      </c>
      <c r="Z30" s="101">
        <v>948686</v>
      </c>
      <c r="AA30" s="101">
        <v>0</v>
      </c>
      <c r="AB30" s="102">
        <f t="shared" si="2"/>
        <v>950584</v>
      </c>
    </row>
    <row r="31" s="10" customFormat="1" ht="35.1" customHeight="1" spans="2:28">
      <c r="B31" s="100" t="s">
        <v>37</v>
      </c>
      <c r="C31" s="101">
        <v>565000</v>
      </c>
      <c r="D31" s="119">
        <v>2100000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39"/>
      <c r="Q31" s="41">
        <f t="shared" si="6"/>
        <v>0</v>
      </c>
      <c r="R31" s="101">
        <v>0</v>
      </c>
      <c r="S31" s="101">
        <v>277348.66</v>
      </c>
      <c r="T31" s="101">
        <v>0</v>
      </c>
      <c r="U31" s="101">
        <v>0</v>
      </c>
      <c r="V31" s="101">
        <v>0</v>
      </c>
      <c r="W31" s="101">
        <v>0</v>
      </c>
      <c r="X31" s="101">
        <v>146913.83</v>
      </c>
      <c r="Y31" s="101">
        <v>46475.35</v>
      </c>
      <c r="Z31" s="101">
        <v>0</v>
      </c>
      <c r="AA31" s="101">
        <v>23560.14</v>
      </c>
      <c r="AB31" s="102">
        <f t="shared" si="2"/>
        <v>494297.98</v>
      </c>
    </row>
    <row r="32" s="10" customFormat="1" ht="35.1" customHeight="1" spans="2:28">
      <c r="B32" s="100" t="s">
        <v>38</v>
      </c>
      <c r="C32" s="101">
        <v>540000</v>
      </c>
      <c r="D32" s="119">
        <v>0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39"/>
      <c r="Q32" s="41">
        <f t="shared" si="6"/>
        <v>0</v>
      </c>
      <c r="R32" s="101">
        <v>0</v>
      </c>
      <c r="S32" s="101">
        <v>0</v>
      </c>
      <c r="T32" s="101">
        <v>0</v>
      </c>
      <c r="U32" s="101">
        <v>195.01</v>
      </c>
      <c r="V32" s="101"/>
      <c r="W32" s="101"/>
      <c r="X32" s="101"/>
      <c r="Y32" s="101">
        <v>12734.87</v>
      </c>
      <c r="Z32" s="101">
        <v>0</v>
      </c>
      <c r="AA32" s="101">
        <v>20293.17</v>
      </c>
      <c r="AB32" s="102">
        <f t="shared" si="2"/>
        <v>33223.05</v>
      </c>
    </row>
    <row r="33" s="10" customFormat="1" ht="35.1" customHeight="1" spans="2:28">
      <c r="B33" s="104" t="s">
        <v>39</v>
      </c>
      <c r="C33" s="101">
        <v>14655000</v>
      </c>
      <c r="D33" s="119">
        <v>0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39"/>
      <c r="Q33" s="41">
        <f t="shared" si="6"/>
        <v>0</v>
      </c>
      <c r="R33" s="101">
        <v>0</v>
      </c>
      <c r="S33" s="101">
        <v>0</v>
      </c>
      <c r="T33" s="101">
        <v>2996200</v>
      </c>
      <c r="U33" s="101">
        <v>1042877.11</v>
      </c>
      <c r="V33" s="101"/>
      <c r="W33" s="101">
        <v>950000</v>
      </c>
      <c r="X33" s="101">
        <v>702813</v>
      </c>
      <c r="Y33" s="101">
        <v>2140035.82</v>
      </c>
      <c r="Z33" s="101">
        <v>950000</v>
      </c>
      <c r="AA33" s="101">
        <v>2841591.51</v>
      </c>
      <c r="AB33" s="102">
        <f t="shared" si="2"/>
        <v>11623517.44</v>
      </c>
    </row>
    <row r="34" s="10" customFormat="1" ht="35.1" customHeight="1" spans="2:28">
      <c r="B34" s="104" t="s">
        <v>40</v>
      </c>
      <c r="C34" s="101"/>
      <c r="D34" s="119">
        <v>0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39"/>
      <c r="Q34" s="41">
        <f t="shared" si="6"/>
        <v>0</v>
      </c>
      <c r="R34" s="101">
        <v>0</v>
      </c>
      <c r="S34" s="101">
        <v>0</v>
      </c>
      <c r="T34" s="101">
        <v>0</v>
      </c>
      <c r="U34" s="101">
        <v>0</v>
      </c>
      <c r="V34" s="101">
        <v>0</v>
      </c>
      <c r="W34" s="101">
        <v>0</v>
      </c>
      <c r="X34" s="101"/>
      <c r="Y34" s="101"/>
      <c r="Z34" s="101"/>
      <c r="AA34" s="101"/>
      <c r="AB34" s="102">
        <f t="shared" si="2"/>
        <v>0</v>
      </c>
    </row>
    <row r="35" s="10" customFormat="1" ht="35.1" customHeight="1" spans="2:28">
      <c r="B35" s="100" t="s">
        <v>41</v>
      </c>
      <c r="C35" s="101">
        <v>47975036</v>
      </c>
      <c r="D35" s="119">
        <v>-900000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39"/>
      <c r="Q35" s="41">
        <f t="shared" si="6"/>
        <v>0</v>
      </c>
      <c r="R35" s="101">
        <v>4483646.34</v>
      </c>
      <c r="S35" s="101">
        <v>80127.27</v>
      </c>
      <c r="T35" s="101">
        <v>732549.66</v>
      </c>
      <c r="U35" s="101">
        <v>2303071.58</v>
      </c>
      <c r="V35" s="101">
        <v>1059518.92</v>
      </c>
      <c r="W35" s="101">
        <v>7826890.09</v>
      </c>
      <c r="X35" s="101">
        <v>676236.1</v>
      </c>
      <c r="Y35" s="101">
        <v>1327501.91</v>
      </c>
      <c r="Z35" s="101">
        <v>2138004.67</v>
      </c>
      <c r="AA35" s="101">
        <v>6924576.1</v>
      </c>
      <c r="AB35" s="102">
        <f t="shared" si="2"/>
        <v>27552122.64</v>
      </c>
    </row>
    <row r="36" s="10" customFormat="1" ht="35.1" customHeight="1" spans="2:28">
      <c r="B36" s="97" t="s">
        <v>42</v>
      </c>
      <c r="C36" s="99">
        <f>SUM(C37:C42)</f>
        <v>0</v>
      </c>
      <c r="D36" s="99">
        <f>SUM(D37:D44)</f>
        <v>1350412</v>
      </c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40"/>
      <c r="P36" s="40"/>
      <c r="Q36" s="41">
        <f t="shared" si="6"/>
        <v>0</v>
      </c>
      <c r="R36" s="99">
        <f>SUM(R37:R43)</f>
        <v>0</v>
      </c>
      <c r="S36" s="99">
        <f>SUM(S37:S42)</f>
        <v>0</v>
      </c>
      <c r="T36" s="99">
        <f>SUM(T37:T42)</f>
        <v>0</v>
      </c>
      <c r="U36" s="99">
        <f>SUM(U37:U42)</f>
        <v>0</v>
      </c>
      <c r="V36" s="99">
        <v>0</v>
      </c>
      <c r="W36" s="99">
        <v>0</v>
      </c>
      <c r="X36" s="99">
        <f>+SUM(X37:X44)</f>
        <v>1328872.4</v>
      </c>
      <c r="Y36" s="99">
        <f>+SUM(Y37:Y44)</f>
        <v>0</v>
      </c>
      <c r="Z36" s="99">
        <f>+SUM(Z37:Z44)</f>
        <v>0</v>
      </c>
      <c r="AA36" s="99">
        <f>+SUM(AA37:AA44)</f>
        <v>378977.95</v>
      </c>
      <c r="AB36" s="99">
        <f>+AB37+AB38+AB39+AB40+AB41+AB42+AB43+AB44</f>
        <v>1707850.35</v>
      </c>
    </row>
    <row r="37" s="10" customFormat="1" ht="35.1" customHeight="1" spans="2:28">
      <c r="B37" s="100" t="s">
        <v>43</v>
      </c>
      <c r="C37" s="101">
        <v>0</v>
      </c>
      <c r="D37" s="11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39"/>
      <c r="Q37" s="41">
        <f t="shared" si="6"/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/>
      <c r="Y37" s="101"/>
      <c r="Z37" s="101"/>
      <c r="AA37" s="101">
        <v>335317.95</v>
      </c>
      <c r="AB37" s="102">
        <f t="shared" si="2"/>
        <v>335317.95</v>
      </c>
    </row>
    <row r="38" s="10" customFormat="1" ht="35.1" customHeight="1" spans="2:28">
      <c r="B38" s="104" t="s">
        <v>44</v>
      </c>
      <c r="C38" s="101"/>
      <c r="D38" s="11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39"/>
      <c r="Q38" s="41">
        <f t="shared" si="6"/>
        <v>0</v>
      </c>
      <c r="R38" s="101"/>
      <c r="S38" s="101"/>
      <c r="T38" s="101"/>
      <c r="U38" s="101"/>
      <c r="V38" s="101"/>
      <c r="W38" s="101"/>
      <c r="X38" s="101"/>
      <c r="Y38" s="101"/>
      <c r="Z38" s="101"/>
      <c r="AA38" s="101">
        <v>0</v>
      </c>
      <c r="AB38" s="102">
        <f t="shared" si="2"/>
        <v>0</v>
      </c>
    </row>
    <row r="39" s="10" customFormat="1" ht="35.1" customHeight="1" spans="2:28">
      <c r="B39" s="104" t="s">
        <v>45</v>
      </c>
      <c r="C39" s="101"/>
      <c r="D39" s="11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39"/>
      <c r="Q39" s="41">
        <f t="shared" si="6"/>
        <v>0</v>
      </c>
      <c r="R39" s="101"/>
      <c r="S39" s="101"/>
      <c r="T39" s="101"/>
      <c r="U39" s="101"/>
      <c r="V39" s="101"/>
      <c r="W39" s="101"/>
      <c r="X39" s="101"/>
      <c r="Y39" s="101"/>
      <c r="Z39" s="101"/>
      <c r="AA39" s="101">
        <v>43660</v>
      </c>
      <c r="AB39" s="102">
        <f t="shared" si="2"/>
        <v>43660</v>
      </c>
    </row>
    <row r="40" s="10" customFormat="1" ht="35.1" customHeight="1" spans="2:28">
      <c r="B40" s="104" t="s">
        <v>46</v>
      </c>
      <c r="C40" s="101"/>
      <c r="D40" s="11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  <c r="Q40" s="41">
        <f t="shared" si="6"/>
        <v>0</v>
      </c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2">
        <f t="shared" si="2"/>
        <v>0</v>
      </c>
    </row>
    <row r="41" s="10" customFormat="1" ht="35.1" customHeight="1" spans="2:28">
      <c r="B41" s="104" t="s">
        <v>47</v>
      </c>
      <c r="C41" s="101"/>
      <c r="D41" s="11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  <c r="Q41" s="41">
        <f t="shared" si="6"/>
        <v>0</v>
      </c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2">
        <f t="shared" si="2"/>
        <v>0</v>
      </c>
    </row>
    <row r="42" s="10" customFormat="1" ht="35.1" customHeight="1" spans="2:28">
      <c r="B42" s="104" t="s">
        <v>48</v>
      </c>
      <c r="C42" s="101"/>
      <c r="D42" s="11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  <c r="Q42" s="41">
        <f t="shared" si="6"/>
        <v>0</v>
      </c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>
        <f t="shared" si="2"/>
        <v>0</v>
      </c>
    </row>
    <row r="43" s="10" customFormat="1" ht="35.1" customHeight="1" spans="2:28">
      <c r="B43" s="100" t="s">
        <v>49</v>
      </c>
      <c r="C43" s="101"/>
      <c r="D43" s="119">
        <v>1350412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  <c r="Q43" s="41">
        <f t="shared" si="6"/>
        <v>0</v>
      </c>
      <c r="R43" s="101"/>
      <c r="S43" s="101"/>
      <c r="T43" s="101"/>
      <c r="U43" s="101"/>
      <c r="V43" s="101"/>
      <c r="W43" s="101"/>
      <c r="X43" s="101">
        <v>1328872.4</v>
      </c>
      <c r="Y43" s="101">
        <v>0</v>
      </c>
      <c r="Z43" s="101">
        <v>0</v>
      </c>
      <c r="AA43" s="101">
        <v>0</v>
      </c>
      <c r="AB43" s="102">
        <f t="shared" si="2"/>
        <v>1328872.4</v>
      </c>
    </row>
    <row r="44" s="10" customFormat="1" ht="35.1" customHeight="1" spans="2:28">
      <c r="B44" s="104" t="s">
        <v>50</v>
      </c>
      <c r="C44" s="99"/>
      <c r="D44" s="119"/>
      <c r="E44" s="35"/>
      <c r="F44" s="35"/>
      <c r="G44" s="35"/>
      <c r="H44" s="35"/>
      <c r="I44" s="35"/>
      <c r="J44" s="35"/>
      <c r="K44" s="35"/>
      <c r="L44" s="35"/>
      <c r="M44" s="35"/>
      <c r="N44" s="40"/>
      <c r="O44" s="40"/>
      <c r="P44" s="39"/>
      <c r="Q44" s="41">
        <f t="shared" si="6"/>
        <v>0</v>
      </c>
      <c r="R44" s="99">
        <f>SUM(R45:R51)</f>
        <v>0</v>
      </c>
      <c r="S44" s="99">
        <f>SUM(S45:S51)</f>
        <v>0</v>
      </c>
      <c r="T44" s="99">
        <f>SUM(T45:T51)</f>
        <v>0</v>
      </c>
      <c r="U44" s="99">
        <f>SUM(U45:U51)</f>
        <v>0</v>
      </c>
      <c r="V44" s="99">
        <v>0</v>
      </c>
      <c r="W44" s="99">
        <v>0</v>
      </c>
      <c r="X44" s="99">
        <v>0</v>
      </c>
      <c r="Y44" s="99">
        <v>0</v>
      </c>
      <c r="Z44" s="99">
        <v>0</v>
      </c>
      <c r="AA44" s="99">
        <v>0</v>
      </c>
      <c r="AB44" s="102">
        <f t="shared" si="2"/>
        <v>0</v>
      </c>
    </row>
    <row r="45" s="10" customFormat="1" ht="35.1" customHeight="1" spans="2:28">
      <c r="B45" s="97" t="s">
        <v>51</v>
      </c>
      <c r="C45" s="99">
        <v>0</v>
      </c>
      <c r="D45" s="120">
        <v>0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  <c r="Q45" s="41">
        <f t="shared" si="6"/>
        <v>0</v>
      </c>
      <c r="R45" s="101"/>
      <c r="S45" s="101"/>
      <c r="T45" s="101"/>
      <c r="U45" s="101"/>
      <c r="V45" s="101">
        <v>0</v>
      </c>
      <c r="W45" s="101">
        <v>0</v>
      </c>
      <c r="X45" s="101"/>
      <c r="Y45" s="101"/>
      <c r="Z45" s="101"/>
      <c r="AA45" s="101"/>
      <c r="AB45" s="102">
        <f t="shared" si="2"/>
        <v>0</v>
      </c>
    </row>
    <row r="46" s="10" customFormat="1" ht="35.1" customHeight="1" spans="2:28">
      <c r="B46" s="100" t="s">
        <v>123</v>
      </c>
      <c r="C46" s="101"/>
      <c r="D46" s="11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  <c r="Q46" s="41">
        <f t="shared" si="6"/>
        <v>0</v>
      </c>
      <c r="R46" s="101"/>
      <c r="S46" s="101"/>
      <c r="T46" s="101"/>
      <c r="U46" s="101"/>
      <c r="V46" s="101">
        <v>0</v>
      </c>
      <c r="W46" s="101">
        <v>0</v>
      </c>
      <c r="X46" s="101"/>
      <c r="Y46" s="101"/>
      <c r="Z46" s="101"/>
      <c r="AA46" s="101"/>
      <c r="AB46" s="102">
        <f t="shared" si="2"/>
        <v>0</v>
      </c>
    </row>
    <row r="47" s="10" customFormat="1" ht="35.1" customHeight="1" spans="2:28">
      <c r="B47" s="104" t="s">
        <v>52</v>
      </c>
      <c r="C47" s="101"/>
      <c r="D47" s="11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  <c r="Q47" s="41">
        <f t="shared" si="6"/>
        <v>0</v>
      </c>
      <c r="R47" s="101"/>
      <c r="S47" s="101"/>
      <c r="T47" s="101"/>
      <c r="U47" s="101"/>
      <c r="V47" s="101">
        <v>0</v>
      </c>
      <c r="W47" s="101">
        <v>0</v>
      </c>
      <c r="X47" s="101"/>
      <c r="Y47" s="101"/>
      <c r="Z47" s="101"/>
      <c r="AA47" s="101"/>
      <c r="AB47" s="102">
        <f t="shared" si="2"/>
        <v>0</v>
      </c>
    </row>
    <row r="48" s="10" customFormat="1" ht="35.1" customHeight="1" spans="2:28">
      <c r="B48" s="104" t="s">
        <v>53</v>
      </c>
      <c r="C48" s="101"/>
      <c r="D48" s="121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  <c r="Q48" s="41">
        <f t="shared" si="6"/>
        <v>0</v>
      </c>
      <c r="R48" s="101"/>
      <c r="S48" s="101"/>
      <c r="T48" s="101"/>
      <c r="U48" s="101"/>
      <c r="V48" s="101">
        <v>0</v>
      </c>
      <c r="W48" s="101">
        <v>0</v>
      </c>
      <c r="X48" s="101"/>
      <c r="Y48" s="101"/>
      <c r="Z48" s="101"/>
      <c r="AA48" s="101"/>
      <c r="AB48" s="102">
        <f t="shared" si="2"/>
        <v>0</v>
      </c>
    </row>
    <row r="49" s="10" customFormat="1" ht="35.1" customHeight="1" spans="2:28">
      <c r="B49" s="104" t="s">
        <v>54</v>
      </c>
      <c r="C49" s="101"/>
      <c r="D49" s="11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  <c r="Q49" s="41">
        <f t="shared" si="6"/>
        <v>0</v>
      </c>
      <c r="R49" s="101"/>
      <c r="S49" s="101"/>
      <c r="T49" s="101"/>
      <c r="U49" s="101"/>
      <c r="V49" s="101">
        <v>0</v>
      </c>
      <c r="W49" s="101">
        <v>0</v>
      </c>
      <c r="X49" s="101"/>
      <c r="Y49" s="101"/>
      <c r="Z49" s="101"/>
      <c r="AA49" s="101"/>
      <c r="AB49" s="102">
        <f t="shared" si="2"/>
        <v>0</v>
      </c>
    </row>
    <row r="50" s="10" customFormat="1" ht="35.1" customHeight="1" spans="2:28">
      <c r="B50" s="100" t="s">
        <v>55</v>
      </c>
      <c r="C50" s="101"/>
      <c r="D50" s="11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  <c r="Q50" s="41">
        <f t="shared" si="6"/>
        <v>0</v>
      </c>
      <c r="R50" s="101"/>
      <c r="S50" s="101"/>
      <c r="T50" s="101"/>
      <c r="U50" s="101"/>
      <c r="V50" s="101">
        <v>0</v>
      </c>
      <c r="W50" s="101">
        <v>0</v>
      </c>
      <c r="X50" s="101"/>
      <c r="Y50" s="101"/>
      <c r="Z50" s="101"/>
      <c r="AA50" s="101"/>
      <c r="AB50" s="102">
        <f t="shared" si="2"/>
        <v>0</v>
      </c>
    </row>
    <row r="51" s="10" customFormat="1" ht="35.1" customHeight="1" spans="2:28">
      <c r="B51" s="104" t="s">
        <v>56</v>
      </c>
      <c r="C51" s="101"/>
      <c r="D51" s="11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  <c r="Q51" s="41">
        <f t="shared" si="6"/>
        <v>0</v>
      </c>
      <c r="R51" s="101"/>
      <c r="S51" s="101"/>
      <c r="T51" s="101"/>
      <c r="U51" s="101"/>
      <c r="V51" s="101">
        <v>0</v>
      </c>
      <c r="W51" s="101">
        <v>0</v>
      </c>
      <c r="X51" s="101"/>
      <c r="Y51" s="101"/>
      <c r="Z51" s="101"/>
      <c r="AA51" s="101"/>
      <c r="AB51" s="102">
        <f t="shared" si="2"/>
        <v>0</v>
      </c>
    </row>
    <row r="52" s="10" customFormat="1" ht="35.1" customHeight="1" spans="2:28">
      <c r="B52" s="97" t="s">
        <v>57</v>
      </c>
      <c r="C52" s="99">
        <f>SUM(C53:C61)</f>
        <v>139200000</v>
      </c>
      <c r="D52" s="99">
        <f>SUM(D53:D61)</f>
        <v>41826195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6">
        <f>+Q53+Q54+Q55+Q56+Q57+Q58+Q59+Q60+Q61</f>
        <v>0</v>
      </c>
      <c r="R52" s="99">
        <f t="shared" ref="R52:Y52" si="9">SUM(R53:R61)</f>
        <v>0</v>
      </c>
      <c r="S52" s="99">
        <f t="shared" si="9"/>
        <v>5108692</v>
      </c>
      <c r="T52" s="99">
        <f t="shared" si="9"/>
        <v>3275143.83</v>
      </c>
      <c r="U52" s="99">
        <f t="shared" si="9"/>
        <v>12829393</v>
      </c>
      <c r="V52" s="99">
        <f t="shared" si="9"/>
        <v>3821925.28</v>
      </c>
      <c r="W52" s="99">
        <f t="shared" si="9"/>
        <v>500000.01</v>
      </c>
      <c r="X52" s="99">
        <f t="shared" ref="X52" si="10">SUM(X53:X61)</f>
        <v>0</v>
      </c>
      <c r="Y52" s="99">
        <f t="shared" si="9"/>
        <v>427619.02</v>
      </c>
      <c r="Z52" s="99">
        <f t="shared" ref="Z52:AB52" si="11">SUM(Z53:Z61)</f>
        <v>34004809.6</v>
      </c>
      <c r="AA52" s="99">
        <f t="shared" si="11"/>
        <v>0</v>
      </c>
      <c r="AB52" s="99">
        <f t="shared" si="11"/>
        <v>59967582.74</v>
      </c>
    </row>
    <row r="53" s="10" customFormat="1" ht="35.1" customHeight="1" spans="2:28">
      <c r="B53" s="100" t="s">
        <v>58</v>
      </c>
      <c r="C53" s="101">
        <v>85300000</v>
      </c>
      <c r="D53" s="119">
        <v>-49733405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  <c r="Q53" s="41">
        <f t="shared" si="6"/>
        <v>0</v>
      </c>
      <c r="R53" s="101"/>
      <c r="S53" s="101"/>
      <c r="T53" s="101"/>
      <c r="U53" s="101">
        <v>0</v>
      </c>
      <c r="V53" s="101">
        <v>424849.09</v>
      </c>
      <c r="W53" s="101">
        <v>0</v>
      </c>
      <c r="X53" s="101"/>
      <c r="Y53" s="101">
        <v>246620</v>
      </c>
      <c r="Z53" s="101">
        <v>144809.6</v>
      </c>
      <c r="AA53" s="101">
        <v>0</v>
      </c>
      <c r="AB53" s="102">
        <f t="shared" si="2"/>
        <v>816278.69</v>
      </c>
    </row>
    <row r="54" s="10" customFormat="1" ht="35.1" customHeight="1" spans="2:28">
      <c r="B54" s="104" t="s">
        <v>59</v>
      </c>
      <c r="C54" s="101">
        <v>900000</v>
      </c>
      <c r="D54" s="119">
        <v>2300000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  <c r="Q54" s="41">
        <f t="shared" si="6"/>
        <v>0</v>
      </c>
      <c r="R54" s="101"/>
      <c r="S54" s="101">
        <v>16992</v>
      </c>
      <c r="T54" s="101">
        <v>0</v>
      </c>
      <c r="U54" s="101">
        <v>351168</v>
      </c>
      <c r="V54" s="101">
        <v>1886676.19</v>
      </c>
      <c r="W54" s="101">
        <v>0</v>
      </c>
      <c r="X54" s="101"/>
      <c r="Y54" s="101"/>
      <c r="Z54" s="101"/>
      <c r="AA54" s="101"/>
      <c r="AB54" s="102">
        <f t="shared" si="2"/>
        <v>2254836.19</v>
      </c>
    </row>
    <row r="55" s="10" customFormat="1" ht="35.1" customHeight="1" spans="2:28">
      <c r="B55" s="100" t="s">
        <v>60</v>
      </c>
      <c r="C55" s="101">
        <v>250000</v>
      </c>
      <c r="D55" s="119">
        <v>0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  <c r="Q55" s="41">
        <f t="shared" si="6"/>
        <v>0</v>
      </c>
      <c r="R55" s="101"/>
      <c r="S55" s="101"/>
      <c r="T55" s="101"/>
      <c r="U55" s="101">
        <v>0</v>
      </c>
      <c r="V55" s="101">
        <v>0</v>
      </c>
      <c r="W55" s="101">
        <v>0</v>
      </c>
      <c r="X55" s="101"/>
      <c r="Y55" s="101"/>
      <c r="Z55" s="101"/>
      <c r="AA55" s="101"/>
      <c r="AB55" s="102">
        <f t="shared" si="2"/>
        <v>0</v>
      </c>
    </row>
    <row r="56" s="10" customFormat="1" ht="35.1" customHeight="1" spans="2:28">
      <c r="B56" s="104" t="s">
        <v>61</v>
      </c>
      <c r="C56" s="101">
        <v>30250000</v>
      </c>
      <c r="D56" s="119">
        <v>42659600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  <c r="Q56" s="41">
        <f t="shared" si="6"/>
        <v>0</v>
      </c>
      <c r="R56" s="101"/>
      <c r="S56" s="101"/>
      <c r="T56" s="101"/>
      <c r="U56" s="101"/>
      <c r="V56" s="101">
        <v>0</v>
      </c>
      <c r="W56" s="101">
        <v>500000.01</v>
      </c>
      <c r="X56" s="101"/>
      <c r="Y56" s="101"/>
      <c r="Z56" s="101">
        <v>29960000</v>
      </c>
      <c r="AA56" s="101"/>
      <c r="AB56" s="102">
        <f t="shared" si="2"/>
        <v>30460000.01</v>
      </c>
    </row>
    <row r="57" s="10" customFormat="1" ht="35.1" customHeight="1" spans="2:28">
      <c r="B57" s="100" t="s">
        <v>62</v>
      </c>
      <c r="C57" s="101">
        <v>16700000</v>
      </c>
      <c r="D57" s="119">
        <v>7200000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  <c r="Q57" s="41">
        <f t="shared" si="6"/>
        <v>0</v>
      </c>
      <c r="R57" s="101"/>
      <c r="S57" s="101">
        <v>5091700</v>
      </c>
      <c r="T57" s="101">
        <v>3275143.83</v>
      </c>
      <c r="U57" s="101">
        <v>10443600</v>
      </c>
      <c r="V57" s="101">
        <v>0</v>
      </c>
      <c r="W57" s="101">
        <v>0</v>
      </c>
      <c r="X57" s="101"/>
      <c r="Y57" s="101"/>
      <c r="Z57" s="101"/>
      <c r="AA57" s="101"/>
      <c r="AB57" s="102">
        <f t="shared" si="2"/>
        <v>18810443.83</v>
      </c>
    </row>
    <row r="58" s="10" customFormat="1" ht="35.1" customHeight="1" spans="2:28">
      <c r="B58" s="100" t="s">
        <v>63</v>
      </c>
      <c r="C58" s="101">
        <v>5000000</v>
      </c>
      <c r="D58" s="119">
        <v>6900000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  <c r="Q58" s="41">
        <f t="shared" si="6"/>
        <v>0</v>
      </c>
      <c r="R58" s="101"/>
      <c r="S58" s="101"/>
      <c r="T58" s="101"/>
      <c r="U58" s="101"/>
      <c r="V58" s="101">
        <v>1510400</v>
      </c>
      <c r="W58" s="101">
        <v>0</v>
      </c>
      <c r="X58" s="101"/>
      <c r="Y58" s="101"/>
      <c r="Z58" s="101"/>
      <c r="AA58" s="101"/>
      <c r="AB58" s="102">
        <f t="shared" si="2"/>
        <v>1510400</v>
      </c>
    </row>
    <row r="59" s="10" customFormat="1" ht="35.1" customHeight="1" spans="2:28">
      <c r="B59" s="100" t="s">
        <v>64</v>
      </c>
      <c r="C59" s="101"/>
      <c r="D59" s="11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  <c r="Q59" s="41">
        <f t="shared" si="6"/>
        <v>0</v>
      </c>
      <c r="R59" s="101"/>
      <c r="S59" s="101"/>
      <c r="T59" s="101"/>
      <c r="U59" s="101"/>
      <c r="V59" s="101">
        <v>0</v>
      </c>
      <c r="W59" s="101">
        <v>0</v>
      </c>
      <c r="X59" s="101"/>
      <c r="Y59" s="101"/>
      <c r="Z59" s="101"/>
      <c r="AA59" s="101"/>
      <c r="AB59" s="102">
        <f t="shared" si="2"/>
        <v>0</v>
      </c>
    </row>
    <row r="60" s="10" customFormat="1" ht="35.1" customHeight="1" spans="2:28">
      <c r="B60" s="100" t="s">
        <v>65</v>
      </c>
      <c r="C60" s="101">
        <v>300000</v>
      </c>
      <c r="D60" s="119">
        <v>14500000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  <c r="Q60" s="41">
        <f t="shared" si="6"/>
        <v>0</v>
      </c>
      <c r="R60" s="101"/>
      <c r="S60" s="101"/>
      <c r="T60" s="101"/>
      <c r="U60" s="101">
        <v>2034625</v>
      </c>
      <c r="V60" s="101">
        <v>0</v>
      </c>
      <c r="W60" s="101">
        <v>0</v>
      </c>
      <c r="X60" s="101"/>
      <c r="Y60" s="101">
        <v>180999.02</v>
      </c>
      <c r="Z60" s="101">
        <v>3900000</v>
      </c>
      <c r="AA60" s="101"/>
      <c r="AB60" s="102">
        <f t="shared" si="2"/>
        <v>6115624.02</v>
      </c>
    </row>
    <row r="61" s="10" customFormat="1" ht="35.1" customHeight="1" spans="2:28">
      <c r="B61" s="104" t="s">
        <v>66</v>
      </c>
      <c r="C61" s="101">
        <v>500000</v>
      </c>
      <c r="D61" s="119">
        <v>18000000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  <c r="Q61" s="41">
        <f t="shared" si="6"/>
        <v>0</v>
      </c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2">
        <f t="shared" si="2"/>
        <v>0</v>
      </c>
    </row>
    <row r="62" s="10" customFormat="1" ht="35.1" customHeight="1" spans="2:28">
      <c r="B62" s="97" t="s">
        <v>67</v>
      </c>
      <c r="C62" s="99">
        <f>SUM(C63:C66)</f>
        <v>40000000</v>
      </c>
      <c r="D62" s="99">
        <f>SUM(D63:D66)</f>
        <v>20000000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9"/>
      <c r="Q62" s="41">
        <f t="shared" si="6"/>
        <v>0</v>
      </c>
      <c r="R62" s="99">
        <f t="shared" ref="R62:AA62" si="12">SUM(R63:R65)</f>
        <v>0</v>
      </c>
      <c r="S62" s="99">
        <f t="shared" si="12"/>
        <v>0</v>
      </c>
      <c r="T62" s="99">
        <f t="shared" si="12"/>
        <v>0</v>
      </c>
      <c r="U62" s="99">
        <f t="shared" si="12"/>
        <v>0</v>
      </c>
      <c r="V62" s="99">
        <f t="shared" si="12"/>
        <v>230000</v>
      </c>
      <c r="W62" s="99">
        <f t="shared" si="12"/>
        <v>0</v>
      </c>
      <c r="X62" s="99"/>
      <c r="Y62" s="99">
        <f t="shared" si="12"/>
        <v>2800000</v>
      </c>
      <c r="Z62" s="99">
        <f t="shared" si="12"/>
        <v>0</v>
      </c>
      <c r="AA62" s="99">
        <f t="shared" si="12"/>
        <v>0</v>
      </c>
      <c r="AB62" s="99">
        <f>SUM(AB63:AB71)</f>
        <v>3030000</v>
      </c>
    </row>
    <row r="63" s="10" customFormat="1" ht="35.1" customHeight="1" spans="2:28">
      <c r="B63" s="100" t="s">
        <v>68</v>
      </c>
      <c r="C63" s="101">
        <v>40000000</v>
      </c>
      <c r="D63" s="119">
        <v>20000000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  <c r="Q63" s="41">
        <f t="shared" si="6"/>
        <v>0</v>
      </c>
      <c r="R63" s="101"/>
      <c r="S63" s="101"/>
      <c r="T63" s="101"/>
      <c r="U63" s="101"/>
      <c r="V63" s="101">
        <v>230000</v>
      </c>
      <c r="W63" s="101">
        <v>0</v>
      </c>
      <c r="X63" s="101"/>
      <c r="Y63" s="101">
        <v>2800000</v>
      </c>
      <c r="Z63" s="101">
        <v>0</v>
      </c>
      <c r="AA63" s="101">
        <v>0</v>
      </c>
      <c r="AB63" s="102">
        <f t="shared" si="2"/>
        <v>3030000</v>
      </c>
    </row>
    <row r="64" s="10" customFormat="1" ht="35.1" customHeight="1" spans="2:28">
      <c r="B64" s="100" t="s">
        <v>69</v>
      </c>
      <c r="C64" s="101"/>
      <c r="D64" s="11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  <c r="Q64" s="41">
        <f t="shared" si="6"/>
        <v>0</v>
      </c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2">
        <f t="shared" si="2"/>
        <v>0</v>
      </c>
    </row>
    <row r="65" s="10" customFormat="1" ht="35.1" customHeight="1" spans="2:28">
      <c r="B65" s="100" t="s">
        <v>70</v>
      </c>
      <c r="C65" s="101"/>
      <c r="D65" s="11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  <c r="Q65" s="41">
        <f t="shared" si="6"/>
        <v>0</v>
      </c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2">
        <f t="shared" si="2"/>
        <v>0</v>
      </c>
    </row>
    <row r="66" s="10" customFormat="1" ht="35.1" customHeight="1" spans="2:28">
      <c r="B66" s="104" t="s">
        <v>71</v>
      </c>
      <c r="C66" s="101"/>
      <c r="D66" s="119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  <c r="Q66" s="41">
        <f t="shared" si="6"/>
        <v>0</v>
      </c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2">
        <f t="shared" si="2"/>
        <v>0</v>
      </c>
    </row>
    <row r="67" s="10" customFormat="1" ht="35.1" customHeight="1" spans="2:28">
      <c r="B67" s="106" t="s">
        <v>72</v>
      </c>
      <c r="C67" s="99"/>
      <c r="D67" s="120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40"/>
      <c r="P67" s="39"/>
      <c r="Q67" s="41">
        <f t="shared" si="6"/>
        <v>0</v>
      </c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102">
        <f t="shared" si="2"/>
        <v>0</v>
      </c>
    </row>
    <row r="68" s="10" customFormat="1" ht="35.1" customHeight="1" spans="2:28">
      <c r="B68" s="100" t="s">
        <v>73</v>
      </c>
      <c r="C68" s="101"/>
      <c r="D68" s="119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  <c r="Q68" s="41">
        <f t="shared" si="6"/>
        <v>0</v>
      </c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2">
        <f t="shared" si="2"/>
        <v>0</v>
      </c>
    </row>
    <row r="69" s="10" customFormat="1" ht="35.1" customHeight="1" spans="2:28">
      <c r="B69" s="104" t="s">
        <v>74</v>
      </c>
      <c r="C69" s="101"/>
      <c r="D69" s="119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  <c r="Q69" s="41">
        <f t="shared" si="6"/>
        <v>0</v>
      </c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2">
        <f t="shared" si="2"/>
        <v>0</v>
      </c>
    </row>
    <row r="70" s="10" customFormat="1" ht="35.1" customHeight="1" spans="2:28">
      <c r="B70" s="97" t="s">
        <v>75</v>
      </c>
      <c r="C70" s="99">
        <f>SUM(C71:C73)</f>
        <v>0</v>
      </c>
      <c r="D70" s="120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40"/>
      <c r="P70" s="39"/>
      <c r="Q70" s="41">
        <f t="shared" si="6"/>
        <v>0</v>
      </c>
      <c r="R70" s="99">
        <f>SUM(R71:R73)</f>
        <v>0</v>
      </c>
      <c r="S70" s="99">
        <f>SUM(S71:S73)</f>
        <v>0</v>
      </c>
      <c r="T70" s="99">
        <f>SUM(T71:T73)</f>
        <v>0</v>
      </c>
      <c r="U70" s="99">
        <f>SUM(U71:U73)</f>
        <v>0</v>
      </c>
      <c r="V70" s="99"/>
      <c r="W70" s="99"/>
      <c r="X70" s="99"/>
      <c r="Y70" s="99"/>
      <c r="Z70" s="99"/>
      <c r="AA70" s="99"/>
      <c r="AB70" s="102">
        <f t="shared" si="2"/>
        <v>0</v>
      </c>
    </row>
    <row r="71" s="10" customFormat="1" ht="35.1" customHeight="1" spans="2:28">
      <c r="B71" s="100" t="s">
        <v>76</v>
      </c>
      <c r="C71" s="101"/>
      <c r="D71" s="119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  <c r="Q71" s="41">
        <f t="shared" si="6"/>
        <v>0</v>
      </c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2">
        <f t="shared" si="2"/>
        <v>0</v>
      </c>
    </row>
    <row r="72" s="10" customFormat="1" ht="35.1" customHeight="1" spans="2:28">
      <c r="B72" s="100" t="s">
        <v>77</v>
      </c>
      <c r="C72" s="101"/>
      <c r="D72" s="119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  <c r="Q72" s="41">
        <f t="shared" si="6"/>
        <v>0</v>
      </c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2">
        <f t="shared" si="2"/>
        <v>0</v>
      </c>
    </row>
    <row r="73" s="10" customFormat="1" ht="35.1" customHeight="1" spans="2:28">
      <c r="B73" s="104" t="s">
        <v>78</v>
      </c>
      <c r="C73" s="101"/>
      <c r="D73" s="119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  <c r="Q73" s="41">
        <f t="shared" si="6"/>
        <v>0</v>
      </c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2">
        <f t="shared" si="2"/>
        <v>0</v>
      </c>
    </row>
    <row r="74" s="10" customFormat="1" ht="35.1" customHeight="1" spans="2:28">
      <c r="B74" s="97" t="s">
        <v>79</v>
      </c>
      <c r="C74" s="107"/>
      <c r="D74" s="120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2">
        <f t="shared" si="2"/>
        <v>0</v>
      </c>
    </row>
    <row r="75" s="10" customFormat="1" ht="35.1" customHeight="1" spans="2:28">
      <c r="B75" s="97" t="s">
        <v>80</v>
      </c>
      <c r="C75" s="107"/>
      <c r="D75" s="120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6"/>
        <v>0</v>
      </c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2">
        <f t="shared" si="2"/>
        <v>0</v>
      </c>
    </row>
    <row r="76" s="10" customFormat="1" ht="35.1" customHeight="1" spans="2:28">
      <c r="B76" s="100" t="s">
        <v>81</v>
      </c>
      <c r="C76" s="108"/>
      <c r="D76" s="11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6"/>
        <v>0</v>
      </c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2">
        <f t="shared" ref="AB76:AB82" si="13">+U76+R76+S76+T76+W76+V76+Y76+X76+AA76+Z76</f>
        <v>0</v>
      </c>
    </row>
    <row r="77" s="10" customFormat="1" ht="35.1" customHeight="1" spans="2:28">
      <c r="B77" s="100" t="s">
        <v>82</v>
      </c>
      <c r="C77" s="108"/>
      <c r="D77" s="11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6"/>
        <v>0</v>
      </c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2">
        <f t="shared" si="13"/>
        <v>0</v>
      </c>
    </row>
    <row r="78" s="10" customFormat="1" ht="35.1" customHeight="1" spans="2:28">
      <c r="B78" s="97" t="s">
        <v>83</v>
      </c>
      <c r="C78" s="107"/>
      <c r="D78" s="120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6"/>
        <v>0</v>
      </c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2">
        <f t="shared" si="13"/>
        <v>0</v>
      </c>
    </row>
    <row r="79" s="10" customFormat="1" ht="35.1" customHeight="1" spans="2:28">
      <c r="B79" s="100" t="s">
        <v>84</v>
      </c>
      <c r="C79" s="108"/>
      <c r="D79" s="11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6"/>
        <v>0</v>
      </c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2">
        <f t="shared" si="13"/>
        <v>0</v>
      </c>
    </row>
    <row r="80" s="10" customFormat="1" ht="35.1" customHeight="1" spans="2:28">
      <c r="B80" s="100" t="s">
        <v>85</v>
      </c>
      <c r="C80" s="108"/>
      <c r="D80" s="11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6"/>
        <v>0</v>
      </c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2">
        <f t="shared" si="13"/>
        <v>0</v>
      </c>
    </row>
    <row r="81" s="10" customFormat="1" ht="35.1" customHeight="1" spans="2:28">
      <c r="B81" s="97" t="s">
        <v>86</v>
      </c>
      <c r="C81" s="107"/>
      <c r="D81" s="120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6"/>
        <v>0</v>
      </c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2">
        <f t="shared" si="13"/>
        <v>0</v>
      </c>
    </row>
    <row r="82" s="10" customFormat="1" ht="35.1" customHeight="1" spans="2:28">
      <c r="B82" s="100" t="s">
        <v>87</v>
      </c>
      <c r="C82" s="108"/>
      <c r="D82" s="11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6"/>
        <v>0</v>
      </c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2">
        <f t="shared" si="13"/>
        <v>0</v>
      </c>
    </row>
    <row r="83" s="10" customFormat="1" ht="35.1" customHeight="1" spans="2:28">
      <c r="B83" s="109" t="s">
        <v>88</v>
      </c>
      <c r="C83" s="110">
        <f>+C10+C16+C26+C36+C44+C52+C62+C67+C70</f>
        <v>2403578297</v>
      </c>
      <c r="D83" s="110">
        <f>+D10+D16+D26+D36+D44+D52+D62+D67+D70</f>
        <v>-1200000</v>
      </c>
      <c r="E83" s="53"/>
      <c r="F83" s="54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5">
        <f t="shared" si="6"/>
        <v>0</v>
      </c>
      <c r="R83" s="110">
        <f t="shared" ref="R83:AA83" si="14">+R10+R16+R26+R36+R44+R52+R62+R67+R70</f>
        <v>59347772.68</v>
      </c>
      <c r="S83" s="110">
        <f t="shared" si="14"/>
        <v>71310108.34</v>
      </c>
      <c r="T83" s="110">
        <f t="shared" si="14"/>
        <v>325941464.73</v>
      </c>
      <c r="U83" s="110">
        <f t="shared" si="14"/>
        <v>322059301.45</v>
      </c>
      <c r="V83" s="110">
        <f t="shared" si="14"/>
        <v>117510627.82</v>
      </c>
      <c r="W83" s="110">
        <f t="shared" si="14"/>
        <v>85522503.05</v>
      </c>
      <c r="X83" s="110">
        <f t="shared" si="14"/>
        <v>82936856.97</v>
      </c>
      <c r="Y83" s="110">
        <f t="shared" si="14"/>
        <v>82512694.84</v>
      </c>
      <c r="Z83" s="110">
        <f t="shared" si="14"/>
        <v>171276133.12</v>
      </c>
      <c r="AA83" s="110">
        <f t="shared" si="14"/>
        <v>117304213.67</v>
      </c>
      <c r="AB83" s="110">
        <f>+AB62+AB52+AB26+AB16+AB10+AB36</f>
        <v>1435721676.67</v>
      </c>
    </row>
    <row r="84" ht="18.75" spans="2:28">
      <c r="B84" s="111" t="s">
        <v>124</v>
      </c>
      <c r="C84" s="8"/>
      <c r="J84" s="122"/>
      <c r="AB84" s="91"/>
    </row>
    <row r="85" ht="18.75" spans="2:28">
      <c r="B85" s="112" t="s">
        <v>90</v>
      </c>
      <c r="C85" s="91"/>
      <c r="J85" s="91"/>
      <c r="M85" s="113"/>
      <c r="U85" s="91"/>
      <c r="V85" s="91"/>
      <c r="W85" s="91"/>
      <c r="X85" s="91"/>
      <c r="Y85" s="91"/>
      <c r="Z85" s="91"/>
      <c r="AA85" s="91"/>
    </row>
    <row r="86" ht="37.5" spans="2:28">
      <c r="B86" s="112" t="s">
        <v>91</v>
      </c>
      <c r="AB86" s="91"/>
    </row>
    <row r="87" ht="18.75" spans="2:28">
      <c r="B87" s="112" t="s">
        <v>92</v>
      </c>
    </row>
    <row r="88" ht="18.75" spans="2:28">
      <c r="B88" s="112" t="s">
        <v>93</v>
      </c>
    </row>
    <row r="89" ht="18.75" spans="2:28">
      <c r="B89" s="112" t="s">
        <v>94</v>
      </c>
    </row>
    <row r="90" ht="18.75" spans="2:28">
      <c r="B90" s="112" t="s">
        <v>95</v>
      </c>
    </row>
    <row r="91" spans="2:28">
      <c r="B91" s="114"/>
    </row>
    <row r="92" spans="2:28">
      <c r="B92" s="114"/>
    </row>
    <row r="93" spans="2:28">
      <c r="B93" s="114"/>
    </row>
    <row r="94" ht="24.95" customHeight="1" spans="2:28">
      <c r="B94" s="62"/>
      <c r="C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W94" s="57"/>
      <c r="X94" s="57"/>
      <c r="Y94" s="58" t="s">
        <v>101</v>
      </c>
      <c r="Z94" s="58"/>
      <c r="AA94" s="57"/>
      <c r="AB94" s="57"/>
    </row>
    <row r="95" ht="23.25" customHeight="1" spans="2:28">
      <c r="B95" s="115"/>
      <c r="C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W95" s="116"/>
      <c r="X95" s="116"/>
      <c r="Y95" s="115" t="s">
        <v>132</v>
      </c>
      <c r="Z95" s="115"/>
      <c r="AA95" s="116"/>
      <c r="AB95" s="116"/>
    </row>
    <row r="97" ht="33.75" customHeight="1" spans="1:28">
      <c r="A97" s="56" t="s">
        <v>97</v>
      </c>
    </row>
    <row r="98" ht="23.25" customHeight="1" spans="1:28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</row>
    <row r="99" ht="18.75" spans="1:28"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</row>
    <row r="100" ht="23.25" spans="1:28">
      <c r="B100" s="62"/>
      <c r="C100" s="62"/>
      <c r="D100" s="62"/>
    </row>
    <row r="101" ht="23.25" spans="1:28">
      <c r="B101" s="63" t="s">
        <v>98</v>
      </c>
      <c r="C101" s="63"/>
      <c r="D101" s="63"/>
    </row>
    <row r="102" ht="21" customHeight="1" spans="1:28">
      <c r="B102" s="61" t="s">
        <v>99</v>
      </c>
      <c r="C102" s="61"/>
    </row>
    <row r="103" ht="21" spans="1:28">
      <c r="B103" s="64"/>
      <c r="C103" s="64"/>
      <c r="D103" s="64"/>
    </row>
  </sheetData>
  <mergeCells count="16">
    <mergeCell ref="B1:AB1"/>
    <mergeCell ref="B2:AB2"/>
    <mergeCell ref="B3:AB3"/>
    <mergeCell ref="B4:AB4"/>
    <mergeCell ref="B5:AB5"/>
    <mergeCell ref="E7:Q7"/>
    <mergeCell ref="R7:U7"/>
    <mergeCell ref="Y94:Z94"/>
    <mergeCell ref="Y95:Z95"/>
    <mergeCell ref="B98:AB98"/>
    <mergeCell ref="B99:AB99"/>
    <mergeCell ref="B100:D100"/>
    <mergeCell ref="B103:D103"/>
    <mergeCell ref="B7:B8"/>
    <mergeCell ref="C7:C8"/>
    <mergeCell ref="D7:D8"/>
  </mergeCells>
  <pageMargins left="0.62992125984252" right="0.31496062992126" top="0.62992125984252" bottom="0.393700787401575" header="0.669291338582677" footer="0.31496062992126"/>
  <pageSetup paperSize="1" scale="81" fitToHeight="0" orientation="landscape"/>
  <headerFooter>
    <oddFooter>&amp;CPágina &amp;P</oddFooter>
  </headerFooter>
  <rowBreaks count="2" manualBreakCount="2">
    <brk id="36" max="25" man="1"/>
    <brk id="64" max="25" man="1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3"/>
  <sheetViews>
    <sheetView view="pageBreakPreview" zoomScaleNormal="100" topLeftCell="B5" workbookViewId="0">
      <selection activeCell="K11" sqref="K11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27.7142857142857" customWidth="1"/>
    <col min="4" max="4" width="16" hidden="1" customWidth="1"/>
    <col min="5" max="5" width="21.2857142857143" hidden="1" customWidth="1"/>
    <col min="6" max="6" width="20.4285714285714" hidden="1" customWidth="1"/>
    <col min="7" max="7" width="18.7142857142857" hidden="1" customWidth="1"/>
    <col min="8" max="8" width="17.8571428571429" hidden="1" customWidth="1"/>
    <col min="9" max="9" width="19.4285714285714" hidden="1" customWidth="1"/>
    <col min="10" max="10" width="20.2857142857143" hidden="1" customWidth="1"/>
    <col min="11" max="13" width="24" customWidth="1"/>
    <col min="14" max="14" width="26.7142857142857" customWidth="1"/>
  </cols>
  <sheetData>
    <row r="1" ht="28.5" customHeight="1" spans="2:14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21" customHeight="1" spans="2:14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18.75" customHeight="1" spans="2:14">
      <c r="B3" s="17">
        <v>2025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ht="15.75" customHeight="1" spans="2:14">
      <c r="B4" s="89" t="s">
        <v>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ht="15.75" customHeight="1" spans="2:14"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2:14">
      <c r="L6" s="91"/>
      <c r="M6" s="91"/>
    </row>
    <row r="7" customHeight="1" spans="2:14">
      <c r="B7" s="22" t="s">
        <v>4</v>
      </c>
      <c r="C7" s="23" t="s">
        <v>5</v>
      </c>
      <c r="D7" s="25"/>
      <c r="E7" s="25"/>
      <c r="F7" s="25"/>
      <c r="G7" s="25"/>
      <c r="H7" s="25"/>
      <c r="I7" s="25"/>
      <c r="J7" s="26"/>
      <c r="K7" s="92"/>
      <c r="L7" s="92"/>
      <c r="M7" s="92"/>
      <c r="N7" s="93"/>
    </row>
    <row r="8" ht="30" customHeight="1" spans="2:14">
      <c r="B8" s="94"/>
      <c r="C8" s="95"/>
      <c r="D8" s="29" t="s">
        <v>115</v>
      </c>
      <c r="E8" s="28" t="s">
        <v>116</v>
      </c>
      <c r="F8" s="28" t="s">
        <v>117</v>
      </c>
      <c r="G8" s="28" t="s">
        <v>118</v>
      </c>
      <c r="H8" s="28" t="s">
        <v>119</v>
      </c>
      <c r="I8" s="29" t="s">
        <v>120</v>
      </c>
      <c r="J8" s="28" t="s">
        <v>121</v>
      </c>
      <c r="K8" s="96" t="s">
        <v>241</v>
      </c>
      <c r="L8" s="96" t="s">
        <v>242</v>
      </c>
      <c r="M8" s="96" t="s">
        <v>243</v>
      </c>
      <c r="N8" s="96" t="s">
        <v>121</v>
      </c>
    </row>
    <row r="9" s="10" customFormat="1" ht="35.1" customHeight="1" spans="2:14">
      <c r="B9" s="97" t="s">
        <v>15</v>
      </c>
      <c r="C9" s="98">
        <f>+C10+C16+C26+C36+C44+C52+C62+C67+C70</f>
        <v>2403578297</v>
      </c>
      <c r="D9" s="32"/>
      <c r="E9" s="32"/>
      <c r="F9" s="32"/>
      <c r="G9" s="32"/>
      <c r="H9" s="32"/>
      <c r="I9" s="32"/>
      <c r="J9" s="32" t="e">
        <f>+#REF!+#REF!+#REF!+#REF!+#REF!+#REF!+D9+E9+F9+G9+H9+I9</f>
        <v>#REF!</v>
      </c>
      <c r="K9" s="98">
        <f t="shared" ref="K9:M9" si="0">+K10+K16+K26+K36+K44+K52+K62+K67+K70</f>
        <v>39906941.62</v>
      </c>
      <c r="L9" s="98">
        <f t="shared" si="0"/>
        <v>83887293.8</v>
      </c>
      <c r="M9" s="98">
        <f t="shared" si="0"/>
        <v>161316008.19</v>
      </c>
      <c r="N9" s="98" t="e">
        <f>+#REF!+#REF!+#REF!+#REF!+#REF!+#REF!+L9+K9+M9</f>
        <v>#REF!</v>
      </c>
    </row>
    <row r="10" s="10" customFormat="1" ht="35.1" customHeight="1" spans="2:14">
      <c r="B10" s="97" t="s">
        <v>16</v>
      </c>
      <c r="C10" s="99">
        <f>SUM(C11:C15)</f>
        <v>754531197</v>
      </c>
      <c r="D10" s="35"/>
      <c r="E10" s="35"/>
      <c r="F10" s="35"/>
      <c r="G10" s="35"/>
      <c r="H10" s="36"/>
      <c r="I10" s="36"/>
      <c r="J10" s="35" t="e">
        <f>SUM(J11:J15)</f>
        <v>#REF!</v>
      </c>
      <c r="K10" s="99">
        <f t="shared" ref="K10:L10" si="1">+K11+K12+K15+K13</f>
        <v>10301183.02</v>
      </c>
      <c r="L10" s="99">
        <f t="shared" si="1"/>
        <v>54807778.84</v>
      </c>
      <c r="M10" s="99">
        <f>+M11+M12+M15+M13+M14</f>
        <v>54807778.84</v>
      </c>
      <c r="N10" s="99" t="e">
        <f>SUM(N11:N15)</f>
        <v>#REF!</v>
      </c>
    </row>
    <row r="11" s="10" customFormat="1" ht="35.1" customHeight="1" spans="2:14">
      <c r="B11" s="100" t="s">
        <v>17</v>
      </c>
      <c r="C11" s="101">
        <v>576509282</v>
      </c>
      <c r="D11" s="40"/>
      <c r="E11" s="40"/>
      <c r="F11" s="40"/>
      <c r="G11" s="40"/>
      <c r="H11" s="39"/>
      <c r="I11" s="39"/>
      <c r="J11" s="41" t="e">
        <f>+#REF!+#REF!+#REF!+#REF!+#REF!+#REF!+D11+E11+F11+G11+H11+I11</f>
        <v>#REF!</v>
      </c>
      <c r="K11" s="101">
        <v>40</v>
      </c>
      <c r="L11" s="101">
        <v>44506635.82</v>
      </c>
      <c r="M11" s="101">
        <v>44506635.82</v>
      </c>
      <c r="N11" s="102" t="e">
        <f>+#REF!+#REF!+#REF!+#REF!+#REF!+#REF!+L11+K11+M11</f>
        <v>#REF!</v>
      </c>
    </row>
    <row r="12" s="10" customFormat="1" ht="35.1" customHeight="1" spans="2:14">
      <c r="B12" s="100" t="s">
        <v>18</v>
      </c>
      <c r="C12" s="101">
        <v>104006853</v>
      </c>
      <c r="D12" s="40"/>
      <c r="E12" s="40"/>
      <c r="F12" s="40"/>
      <c r="G12" s="40"/>
      <c r="H12" s="39"/>
      <c r="I12" s="39"/>
      <c r="J12" s="41" t="e">
        <f>+#REF!+#REF!+#REF!+#REF!+#REF!+#REF!+D12+E12+F12+G12+H12+I12</f>
        <v>#REF!</v>
      </c>
      <c r="K12" s="101">
        <v>3771000</v>
      </c>
      <c r="L12" s="101">
        <f>+K12</f>
        <v>3771000</v>
      </c>
      <c r="M12" s="101">
        <v>3771000</v>
      </c>
      <c r="N12" s="102" t="e">
        <f>+#REF!+#REF!+#REF!+#REF!+#REF!+#REF!+L12+K12+M12</f>
        <v>#REF!</v>
      </c>
    </row>
    <row r="13" s="10" customFormat="1" ht="35.1" customHeight="1" spans="2:14">
      <c r="B13" s="100" t="s">
        <v>19</v>
      </c>
      <c r="C13" s="101">
        <v>0</v>
      </c>
      <c r="D13" s="40"/>
      <c r="E13" s="40"/>
      <c r="F13" s="40"/>
      <c r="G13" s="40"/>
      <c r="H13" s="39"/>
      <c r="I13" s="39"/>
      <c r="J13" s="41" t="e">
        <f>+#REF!+#REF!+#REF!+#REF!+#REF!+#REF!+D13+E13+F13+G13+H13</f>
        <v>#REF!</v>
      </c>
      <c r="K13" s="101">
        <v>39000</v>
      </c>
      <c r="L13" s="101">
        <v>39000</v>
      </c>
      <c r="M13" s="101">
        <v>39000</v>
      </c>
      <c r="N13" s="102" t="e">
        <f>+#REF!+#REF!+#REF!+#REF!+#REF!+#REF!+L13+K13+M13</f>
        <v>#REF!</v>
      </c>
    </row>
    <row r="14" s="10" customFormat="1" ht="35.1" customHeight="1" spans="2:14">
      <c r="B14" s="100" t="s">
        <v>20</v>
      </c>
      <c r="C14" s="101">
        <v>10000000</v>
      </c>
      <c r="D14" s="40"/>
      <c r="E14" s="40"/>
      <c r="F14" s="40"/>
      <c r="G14" s="40"/>
      <c r="H14" s="39"/>
      <c r="I14" s="39"/>
      <c r="J14" s="41" t="e">
        <f>+#REF!+#REF!+#REF!+#REF!+#REF!+#REF!+D14+E14+F14+G14+H14</f>
        <v>#REF!</v>
      </c>
      <c r="K14" s="101"/>
      <c r="L14" s="101"/>
      <c r="M14" s="101"/>
      <c r="N14" s="102" t="e">
        <f>+#REF!+#REF!+#REF!+#REF!+#REF!+#REF!+L14+K14+M14</f>
        <v>#REF!</v>
      </c>
    </row>
    <row r="15" s="10" customFormat="1" ht="35.1" customHeight="1" spans="2:14">
      <c r="B15" s="100" t="s">
        <v>21</v>
      </c>
      <c r="C15" s="101">
        <v>64015062</v>
      </c>
      <c r="D15" s="40"/>
      <c r="E15" s="40"/>
      <c r="F15" s="40"/>
      <c r="G15" s="40"/>
      <c r="H15" s="39"/>
      <c r="I15" s="39"/>
      <c r="J15" s="41" t="e">
        <f>+#REF!+#REF!+#REF!+#REF!+#REF!+#REF!+D15+E15+F15+G15+H15+I15</f>
        <v>#REF!</v>
      </c>
      <c r="K15" s="101">
        <f>+M15</f>
        <v>6491143.02</v>
      </c>
      <c r="L15" s="101">
        <f>+M15</f>
        <v>6491143.02</v>
      </c>
      <c r="M15" s="101">
        <v>6491143.02</v>
      </c>
      <c r="N15" s="102" t="e">
        <f>+#REF!+#REF!+#REF!+#REF!+#REF!+#REF!+L15+K15+M15</f>
        <v>#REF!</v>
      </c>
    </row>
    <row r="16" s="10" customFormat="1" ht="35.1" customHeight="1" spans="2:14">
      <c r="B16" s="97" t="s">
        <v>22</v>
      </c>
      <c r="C16" s="99">
        <f>SUM(C17:C25)</f>
        <v>1375962044</v>
      </c>
      <c r="D16" s="35"/>
      <c r="E16" s="35"/>
      <c r="F16" s="35"/>
      <c r="G16" s="35"/>
      <c r="H16" s="35"/>
      <c r="I16" s="35"/>
      <c r="J16" s="36" t="e">
        <f>+J17+J18+J19+J20+J21+J22+J23+J24+J25</f>
        <v>#REF!</v>
      </c>
      <c r="K16" s="99">
        <f t="shared" ref="K16" si="2">SUM(K17:K25)</f>
        <v>26067176.74</v>
      </c>
      <c r="L16" s="99">
        <f t="shared" ref="L16" si="3">SUM(L17:L25)</f>
        <v>21849208.51</v>
      </c>
      <c r="M16" s="99">
        <f t="shared" ref="M16" si="4">SUM(M17:M25)</f>
        <v>68289085.64</v>
      </c>
      <c r="N16" s="103" t="e">
        <f>+N17+N18+N19+N20+N21+N22+N23+N24+N25</f>
        <v>#REF!</v>
      </c>
    </row>
    <row r="17" s="10" customFormat="1" ht="35.1" customHeight="1" spans="2:14">
      <c r="B17" s="100" t="s">
        <v>23</v>
      </c>
      <c r="C17" s="101">
        <v>88764349</v>
      </c>
      <c r="D17" s="40"/>
      <c r="E17" s="40"/>
      <c r="F17" s="40"/>
      <c r="G17" s="40"/>
      <c r="H17" s="39"/>
      <c r="I17" s="39"/>
      <c r="J17" s="41" t="e">
        <f>+#REF!+#REF!+#REF!+#REF!+#REF!+#REF!+D17+E17+F17+G17+H17+I17</f>
        <v>#REF!</v>
      </c>
      <c r="K17" s="101">
        <v>11027409.63</v>
      </c>
      <c r="L17" s="101">
        <v>5699715.58</v>
      </c>
      <c r="M17" s="101">
        <v>3193535.69</v>
      </c>
      <c r="N17" s="102" t="e">
        <f>+#REF!+#REF!+#REF!+#REF!+#REF!+#REF!+L17+K17+M17</f>
        <v>#REF!</v>
      </c>
    </row>
    <row r="18" s="10" customFormat="1" ht="35.1" customHeight="1" spans="2:14">
      <c r="B18" s="100" t="s">
        <v>24</v>
      </c>
      <c r="C18" s="101">
        <v>893080000</v>
      </c>
      <c r="D18" s="40"/>
      <c r="E18" s="40"/>
      <c r="F18" s="40"/>
      <c r="G18" s="40"/>
      <c r="H18" s="39"/>
      <c r="I18" s="39"/>
      <c r="J18" s="41" t="e">
        <f>+#REF!+#REF!+#REF!+#REF!+#REF!+#REF!+D18+E18+F18+G18+H18+I18</f>
        <v>#REF!</v>
      </c>
      <c r="K18" s="101">
        <v>798303.4</v>
      </c>
      <c r="L18" s="101">
        <v>11770.5</v>
      </c>
      <c r="M18" s="101">
        <v>0</v>
      </c>
      <c r="N18" s="102" t="e">
        <f>+#REF!+#REF!+#REF!+#REF!+#REF!+#REF!+L18+K18+M18</f>
        <v>#REF!</v>
      </c>
    </row>
    <row r="19" s="10" customFormat="1" ht="35.1" customHeight="1" spans="2:14">
      <c r="B19" s="100" t="s">
        <v>25</v>
      </c>
      <c r="C19" s="101">
        <v>40200000</v>
      </c>
      <c r="D19" s="40"/>
      <c r="E19" s="40"/>
      <c r="F19" s="40"/>
      <c r="G19" s="40"/>
      <c r="H19" s="39"/>
      <c r="I19" s="39"/>
      <c r="J19" s="41" t="e">
        <f>+#REF!+#REF!+#REF!+#REF!+#REF!+#REF!+D19+E19+F19+G19+H19+I19</f>
        <v>#REF!</v>
      </c>
      <c r="K19" s="101">
        <v>295974.6</v>
      </c>
      <c r="L19" s="101">
        <v>1643192.78</v>
      </c>
      <c r="M19" s="101">
        <v>1075361.7</v>
      </c>
      <c r="N19" s="102" t="e">
        <f>+#REF!+#REF!+#REF!+#REF!+#REF!+#REF!+L19+K19+M19</f>
        <v>#REF!</v>
      </c>
    </row>
    <row r="20" s="10" customFormat="1" ht="35.1" customHeight="1" spans="2:14">
      <c r="B20" s="100" t="s">
        <v>26</v>
      </c>
      <c r="C20" s="101">
        <v>1200000</v>
      </c>
      <c r="D20" s="40"/>
      <c r="E20" s="40"/>
      <c r="F20" s="40"/>
      <c r="G20" s="40"/>
      <c r="H20" s="39"/>
      <c r="I20" s="39"/>
      <c r="J20" s="41" t="e">
        <f>+#REF!+#REF!+#REF!+#REF!+#REF!+#REF!+D20+E20+F20+G20+H20+I20</f>
        <v>#REF!</v>
      </c>
      <c r="K20" s="101"/>
      <c r="L20" s="101">
        <v>884686.37</v>
      </c>
      <c r="M20" s="101">
        <v>0</v>
      </c>
      <c r="N20" s="102" t="e">
        <f>+#REF!+#REF!+#REF!+#REF!+#REF!+#REF!+L20+K20+M20</f>
        <v>#REF!</v>
      </c>
    </row>
    <row r="21" s="10" customFormat="1" ht="35.1" customHeight="1" spans="2:14">
      <c r="B21" s="100" t="s">
        <v>27</v>
      </c>
      <c r="C21" s="101">
        <v>160450000</v>
      </c>
      <c r="D21" s="40"/>
      <c r="E21" s="40"/>
      <c r="F21" s="40"/>
      <c r="G21" s="40"/>
      <c r="H21" s="39"/>
      <c r="I21" s="39"/>
      <c r="J21" s="41" t="e">
        <f>+#REF!+#REF!+#REF!+#REF!+#REF!+#REF!+D21+E21+F21+G21+H21+I21</f>
        <v>#REF!</v>
      </c>
      <c r="K21" s="101">
        <v>1198898.9</v>
      </c>
      <c r="L21" s="101">
        <v>809059.53</v>
      </c>
      <c r="M21" s="101">
        <v>46012827.79</v>
      </c>
      <c r="N21" s="102" t="e">
        <f>+#REF!+#REF!+#REF!+#REF!+#REF!+#REF!+L21+K21+M21</f>
        <v>#REF!</v>
      </c>
    </row>
    <row r="22" s="10" customFormat="1" ht="35.1" customHeight="1" spans="2:14">
      <c r="B22" s="100" t="s">
        <v>28</v>
      </c>
      <c r="C22" s="101">
        <v>34000000</v>
      </c>
      <c r="D22" s="40"/>
      <c r="E22" s="40"/>
      <c r="F22" s="40"/>
      <c r="G22" s="40"/>
      <c r="H22" s="39"/>
      <c r="I22" s="39"/>
      <c r="J22" s="41" t="e">
        <f>+#REF!+#REF!+#REF!+#REF!+#REF!+#REF!+D22+E22+F22+G22+H22+I22</f>
        <v>#REF!</v>
      </c>
      <c r="K22" s="101">
        <v>1401982.61</v>
      </c>
      <c r="L22" s="101">
        <v>2681042.76</v>
      </c>
      <c r="M22" s="101">
        <v>8379853.52</v>
      </c>
      <c r="N22" s="102" t="e">
        <f>+#REF!+#REF!+#REF!+#REF!+#REF!+#REF!+L22+K22+M22</f>
        <v>#REF!</v>
      </c>
    </row>
    <row r="23" s="10" customFormat="1" ht="35.1" customHeight="1" spans="2:14">
      <c r="B23" s="104" t="s">
        <v>29</v>
      </c>
      <c r="C23" s="101">
        <v>23050000</v>
      </c>
      <c r="D23" s="40"/>
      <c r="E23" s="40"/>
      <c r="F23" s="40"/>
      <c r="G23" s="40"/>
      <c r="H23" s="39"/>
      <c r="I23" s="39"/>
      <c r="J23" s="41" t="e">
        <f>+#REF!+#REF!+#REF!+#REF!+#REF!+#REF!+D23+E23+F23+G23+H23+I23</f>
        <v>#REF!</v>
      </c>
      <c r="K23" s="101">
        <v>5059603.64</v>
      </c>
      <c r="L23" s="101">
        <v>2787095.42</v>
      </c>
      <c r="M23" s="101">
        <v>733640.78</v>
      </c>
      <c r="N23" s="102" t="e">
        <f>+#REF!+#REF!+#REF!+#REF!+#REF!+#REF!+L23+K23+M23</f>
        <v>#REF!</v>
      </c>
    </row>
    <row r="24" s="10" customFormat="1" ht="35.1" customHeight="1" spans="2:14">
      <c r="B24" s="104" t="s">
        <v>30</v>
      </c>
      <c r="C24" s="101">
        <v>55017695</v>
      </c>
      <c r="D24" s="40"/>
      <c r="E24" s="40"/>
      <c r="F24" s="40"/>
      <c r="G24" s="40"/>
      <c r="H24" s="39"/>
      <c r="I24" s="39"/>
      <c r="J24" s="41" t="e">
        <f>+#REF!+#REF!+#REF!+#REF!+#REF!+#REF!+D24+E24+F24+G24+H24+I24</f>
        <v>#REF!</v>
      </c>
      <c r="K24" s="102">
        <v>1037600.6</v>
      </c>
      <c r="L24" s="102">
        <v>1394784.02</v>
      </c>
      <c r="M24" s="102">
        <v>2466480</v>
      </c>
      <c r="N24" s="102" t="e">
        <f>+#REF!+#REF!+#REF!+#REF!+#REF!+#REF!+L24+K24+M24</f>
        <v>#REF!</v>
      </c>
    </row>
    <row r="25" s="10" customFormat="1" ht="35.1" customHeight="1" spans="2:14">
      <c r="B25" s="100" t="s">
        <v>31</v>
      </c>
      <c r="C25" s="101">
        <v>80200000</v>
      </c>
      <c r="D25" s="40"/>
      <c r="E25" s="40"/>
      <c r="F25" s="40"/>
      <c r="G25" s="40"/>
      <c r="H25" s="39"/>
      <c r="I25" s="39"/>
      <c r="J25" s="41" t="e">
        <f>+#REF!+#REF!+#REF!+#REF!+#REF!+#REF!+D25+E25+F25+G25+H25+I25</f>
        <v>#REF!</v>
      </c>
      <c r="K25" s="101">
        <v>5247403.36</v>
      </c>
      <c r="L25" s="101">
        <v>5937861.55</v>
      </c>
      <c r="M25" s="101">
        <v>6427386.16</v>
      </c>
      <c r="N25" s="102" t="e">
        <f>+#REF!+#REF!+#REF!+#REF!+#REF!+#REF!+L25+K25+M25</f>
        <v>#REF!</v>
      </c>
    </row>
    <row r="26" s="10" customFormat="1" ht="35.1" customHeight="1" spans="2:14">
      <c r="B26" s="97" t="s">
        <v>32</v>
      </c>
      <c r="C26" s="99">
        <f>SUM(C27:C35)</f>
        <v>93885056</v>
      </c>
      <c r="D26" s="35"/>
      <c r="E26" s="35"/>
      <c r="F26" s="35"/>
      <c r="G26" s="35"/>
      <c r="H26" s="35"/>
      <c r="I26" s="35"/>
      <c r="J26" s="36" t="e">
        <f>+J27+J28+J29+J30+J31+J33+J32+J34+J35+J36+J37</f>
        <v>#REF!</v>
      </c>
      <c r="K26" s="99">
        <f t="shared" ref="K26:M26" si="5">SUM(K27:K35)</f>
        <v>2209709.46</v>
      </c>
      <c r="L26" s="99">
        <f t="shared" si="5"/>
        <v>4002687.43</v>
      </c>
      <c r="M26" s="99">
        <f t="shared" si="5"/>
        <v>4214334.11</v>
      </c>
      <c r="N26" s="103" t="e">
        <f>+N27+N28+N29+N30+N31+N32+N33+N34+N35</f>
        <v>#REF!</v>
      </c>
    </row>
    <row r="27" s="10" customFormat="1" ht="35.1" customHeight="1" spans="2:14">
      <c r="B27" s="100" t="s">
        <v>33</v>
      </c>
      <c r="C27" s="101">
        <v>12300020</v>
      </c>
      <c r="D27" s="40"/>
      <c r="E27" s="40"/>
      <c r="F27" s="40"/>
      <c r="G27" s="40"/>
      <c r="H27" s="40"/>
      <c r="I27" s="39"/>
      <c r="J27" s="41" t="e">
        <f>+#REF!+#REF!+#REF!+#REF!+#REF!+#REF!+D27+E27+F27+G27+H27+I27</f>
        <v>#REF!</v>
      </c>
      <c r="K27" s="101">
        <v>86745</v>
      </c>
      <c r="L27" s="101">
        <v>467049.24</v>
      </c>
      <c r="M27" s="101">
        <v>177643.44</v>
      </c>
      <c r="N27" s="102" t="e">
        <f>+#REF!+#REF!+#REF!+#REF!+#REF!+#REF!+L27+K27+M27</f>
        <v>#REF!</v>
      </c>
    </row>
    <row r="28" s="10" customFormat="1" ht="35.1" customHeight="1" spans="2:14">
      <c r="B28" s="100" t="s">
        <v>34</v>
      </c>
      <c r="C28" s="101">
        <v>11020000</v>
      </c>
      <c r="D28" s="40"/>
      <c r="E28" s="40"/>
      <c r="F28" s="40"/>
      <c r="G28" s="40"/>
      <c r="H28" s="40"/>
      <c r="I28" s="39"/>
      <c r="J28" s="41" t="e">
        <f>+#REF!+#REF!+#REF!+#REF!+#REF!+#REF!+D28+E28+F28+G28+H28+I28</f>
        <v>#REF!</v>
      </c>
      <c r="K28" s="101">
        <v>0</v>
      </c>
      <c r="L28" s="101">
        <v>3030.24</v>
      </c>
      <c r="M28" s="101">
        <v>0</v>
      </c>
      <c r="N28" s="102" t="e">
        <f>+#REF!+#REF!+#REF!+#REF!+#REF!+#REF!+L28+K28+M28</f>
        <v>#REF!</v>
      </c>
    </row>
    <row r="29" s="10" customFormat="1" ht="35.1" customHeight="1" spans="2:14">
      <c r="B29" s="100" t="s">
        <v>35</v>
      </c>
      <c r="C29" s="101">
        <v>6330000</v>
      </c>
      <c r="D29" s="40"/>
      <c r="E29" s="105"/>
      <c r="F29" s="40"/>
      <c r="G29" s="40"/>
      <c r="H29" s="40"/>
      <c r="I29" s="39"/>
      <c r="J29" s="41" t="e">
        <f>+#REF!+#REF!+#REF!+#REF!+#REF!+#REF!+D29+E29+F29+G29+H29+I29</f>
        <v>#REF!</v>
      </c>
      <c r="K29" s="101">
        <v>597001.53</v>
      </c>
      <c r="L29" s="101">
        <v>3962</v>
      </c>
      <c r="M29" s="101">
        <v>0</v>
      </c>
      <c r="N29" s="102" t="e">
        <f>+#REF!+#REF!+#REF!+#REF!+#REF!+#REF!+L29+K29+M29</f>
        <v>#REF!</v>
      </c>
    </row>
    <row r="30" s="10" customFormat="1" ht="35.1" customHeight="1" spans="2:14">
      <c r="B30" s="100" t="s">
        <v>36</v>
      </c>
      <c r="C30" s="101">
        <v>500000</v>
      </c>
      <c r="D30" s="40"/>
      <c r="E30" s="40"/>
      <c r="F30" s="40"/>
      <c r="G30" s="40"/>
      <c r="H30" s="40"/>
      <c r="I30" s="39"/>
      <c r="J30" s="41" t="e">
        <f>+#REF!+#REF!+#REF!+#REF!+#REF!+#REF!+D30+E30+F30+G30+H30+I30</f>
        <v>#REF!</v>
      </c>
      <c r="K30" s="101"/>
      <c r="L30" s="101">
        <v>1898</v>
      </c>
      <c r="M30" s="101">
        <v>948686</v>
      </c>
      <c r="N30" s="102" t="e">
        <f>+#REF!+#REF!+#REF!+#REF!+#REF!+#REF!+L30+K30+M30</f>
        <v>#REF!</v>
      </c>
    </row>
    <row r="31" s="10" customFormat="1" ht="35.1" customHeight="1" spans="2:14">
      <c r="B31" s="100" t="s">
        <v>37</v>
      </c>
      <c r="C31" s="101">
        <v>565000</v>
      </c>
      <c r="D31" s="40"/>
      <c r="E31" s="40"/>
      <c r="F31" s="40"/>
      <c r="G31" s="40"/>
      <c r="H31" s="40"/>
      <c r="I31" s="39"/>
      <c r="J31" s="41" t="e">
        <f>+#REF!+#REF!+#REF!+#REF!+#REF!+#REF!+D31+E31+F31+G31+H31+I31</f>
        <v>#REF!</v>
      </c>
      <c r="K31" s="101">
        <v>146913.83</v>
      </c>
      <c r="L31" s="101">
        <v>46475.35</v>
      </c>
      <c r="M31" s="101">
        <v>0</v>
      </c>
      <c r="N31" s="102" t="e">
        <f>+#REF!+#REF!+#REF!+#REF!+#REF!+#REF!+L31+K31+M31</f>
        <v>#REF!</v>
      </c>
    </row>
    <row r="32" s="10" customFormat="1" ht="35.1" customHeight="1" spans="2:14">
      <c r="B32" s="100" t="s">
        <v>38</v>
      </c>
      <c r="C32" s="101">
        <v>540000</v>
      </c>
      <c r="D32" s="40"/>
      <c r="E32" s="40"/>
      <c r="F32" s="40"/>
      <c r="G32" s="40"/>
      <c r="H32" s="40"/>
      <c r="I32" s="39"/>
      <c r="J32" s="41" t="e">
        <f>+#REF!+#REF!+#REF!+#REF!+#REF!+#REF!+D32+E32+F32+G32+H32+I32</f>
        <v>#REF!</v>
      </c>
      <c r="K32" s="101"/>
      <c r="L32" s="101">
        <v>12734.87</v>
      </c>
      <c r="M32" s="101">
        <v>0</v>
      </c>
      <c r="N32" s="102" t="e">
        <f>+#REF!+#REF!+#REF!+#REF!+#REF!+#REF!+L32+K32+M32</f>
        <v>#REF!</v>
      </c>
    </row>
    <row r="33" s="10" customFormat="1" ht="35.1" customHeight="1" spans="2:14">
      <c r="B33" s="104" t="s">
        <v>39</v>
      </c>
      <c r="C33" s="101">
        <v>14655000</v>
      </c>
      <c r="D33" s="40"/>
      <c r="E33" s="40"/>
      <c r="F33" s="40"/>
      <c r="G33" s="40"/>
      <c r="H33" s="40"/>
      <c r="I33" s="39"/>
      <c r="J33" s="41" t="e">
        <f>+#REF!+#REF!+#REF!+#REF!+#REF!+#REF!+D33+E33+F33+G33+H33+I33</f>
        <v>#REF!</v>
      </c>
      <c r="K33" s="101">
        <v>702813</v>
      </c>
      <c r="L33" s="101">
        <v>2140035.82</v>
      </c>
      <c r="M33" s="101">
        <v>950000</v>
      </c>
      <c r="N33" s="102" t="e">
        <f>+#REF!+#REF!+#REF!+#REF!+#REF!+#REF!+L33+K33+M33</f>
        <v>#REF!</v>
      </c>
    </row>
    <row r="34" s="10" customFormat="1" ht="35.1" customHeight="1" spans="2:14">
      <c r="B34" s="104" t="s">
        <v>40</v>
      </c>
      <c r="C34" s="101"/>
      <c r="D34" s="40"/>
      <c r="E34" s="40"/>
      <c r="F34" s="40"/>
      <c r="G34" s="40"/>
      <c r="H34" s="40"/>
      <c r="I34" s="39"/>
      <c r="J34" s="41" t="e">
        <f>+#REF!+#REF!+#REF!+#REF!+#REF!+#REF!+D34+E34+F34+G34+H34+I34</f>
        <v>#REF!</v>
      </c>
      <c r="K34" s="101"/>
      <c r="L34" s="101"/>
      <c r="M34" s="101"/>
      <c r="N34" s="102" t="e">
        <f>+#REF!+#REF!+#REF!+#REF!+#REF!+#REF!+L34+K34+M34</f>
        <v>#REF!</v>
      </c>
    </row>
    <row r="35" s="10" customFormat="1" ht="35.1" customHeight="1" spans="2:14">
      <c r="B35" s="100" t="s">
        <v>41</v>
      </c>
      <c r="C35" s="101">
        <v>47975036</v>
      </c>
      <c r="D35" s="40"/>
      <c r="E35" s="40"/>
      <c r="F35" s="40"/>
      <c r="G35" s="40"/>
      <c r="H35" s="40"/>
      <c r="I35" s="39"/>
      <c r="J35" s="41" t="e">
        <f>+#REF!+#REF!+#REF!+#REF!+#REF!+#REF!+D35+E35+F35+G35+H35+I35</f>
        <v>#REF!</v>
      </c>
      <c r="K35" s="101">
        <v>676236.1</v>
      </c>
      <c r="L35" s="101">
        <v>1327501.91</v>
      </c>
      <c r="M35" s="101">
        <v>2138004.67</v>
      </c>
      <c r="N35" s="102" t="e">
        <f>+#REF!+#REF!+#REF!+#REF!+#REF!+#REF!+L35+K35+M35</f>
        <v>#REF!</v>
      </c>
    </row>
    <row r="36" s="10" customFormat="1" ht="35.1" customHeight="1" spans="2:14">
      <c r="B36" s="97" t="s">
        <v>42</v>
      </c>
      <c r="C36" s="99">
        <f>SUM(C37:C42)</f>
        <v>0</v>
      </c>
      <c r="D36" s="35"/>
      <c r="E36" s="35"/>
      <c r="F36" s="35"/>
      <c r="G36" s="40"/>
      <c r="H36" s="40"/>
      <c r="I36" s="40"/>
      <c r="J36" s="41" t="e">
        <f>+#REF!+#REF!+#REF!+#REF!+#REF!+#REF!+D36+E36+F36+G36+H36+I36</f>
        <v>#REF!</v>
      </c>
      <c r="K36" s="99">
        <f>+SUM(K37:K44)</f>
        <v>1328872.4</v>
      </c>
      <c r="L36" s="99">
        <f>+SUM(L37:L44)</f>
        <v>0</v>
      </c>
      <c r="M36" s="99">
        <f>+SUM(M37:M44)</f>
        <v>0</v>
      </c>
      <c r="N36" s="99" t="e">
        <f>+N37+N38+N39+N40+N41+N42+N43+N44</f>
        <v>#REF!</v>
      </c>
    </row>
    <row r="37" s="10" customFormat="1" ht="35.1" customHeight="1" spans="2:14">
      <c r="B37" s="100" t="s">
        <v>43</v>
      </c>
      <c r="C37" s="101">
        <v>0</v>
      </c>
      <c r="D37" s="40"/>
      <c r="E37" s="40"/>
      <c r="F37" s="40"/>
      <c r="G37" s="40"/>
      <c r="H37" s="40"/>
      <c r="I37" s="39"/>
      <c r="J37" s="41" t="e">
        <f>+#REF!+#REF!+#REF!+#REF!+#REF!+#REF!+D37+E37+F37+G37+H37+I37</f>
        <v>#REF!</v>
      </c>
      <c r="K37" s="101"/>
      <c r="L37" s="101"/>
      <c r="M37" s="101"/>
      <c r="N37" s="102" t="e">
        <f>+#REF!+#REF!+#REF!+#REF!+#REF!+#REF!+L37+K37</f>
        <v>#REF!</v>
      </c>
    </row>
    <row r="38" s="10" customFormat="1" ht="35.1" customHeight="1" spans="2:14">
      <c r="B38" s="104" t="s">
        <v>44</v>
      </c>
      <c r="C38" s="101"/>
      <c r="D38" s="40"/>
      <c r="E38" s="40"/>
      <c r="F38" s="40"/>
      <c r="G38" s="40"/>
      <c r="H38" s="40"/>
      <c r="I38" s="39"/>
      <c r="J38" s="41" t="e">
        <f>+#REF!+#REF!+#REF!+#REF!+#REF!+#REF!+D38+E38+F38+G38+H38+I38</f>
        <v>#REF!</v>
      </c>
      <c r="K38" s="101"/>
      <c r="L38" s="101"/>
      <c r="M38" s="101"/>
      <c r="N38" s="102" t="e">
        <f>+#REF!+#REF!+#REF!+#REF!+#REF!+#REF!+L38+K38</f>
        <v>#REF!</v>
      </c>
    </row>
    <row r="39" s="10" customFormat="1" ht="35.1" customHeight="1" spans="2:14">
      <c r="B39" s="104" t="s">
        <v>45</v>
      </c>
      <c r="C39" s="101"/>
      <c r="D39" s="40"/>
      <c r="E39" s="40"/>
      <c r="F39" s="40"/>
      <c r="G39" s="40"/>
      <c r="H39" s="40"/>
      <c r="I39" s="39"/>
      <c r="J39" s="41" t="e">
        <f>+#REF!+#REF!+#REF!+#REF!+#REF!+#REF!+D39+E39+F39+G39+H39+I39</f>
        <v>#REF!</v>
      </c>
      <c r="K39" s="101"/>
      <c r="L39" s="101"/>
      <c r="M39" s="101"/>
      <c r="N39" s="102" t="e">
        <f>+#REF!+#REF!+#REF!+#REF!+#REF!+#REF!+L39+K39</f>
        <v>#REF!</v>
      </c>
    </row>
    <row r="40" s="10" customFormat="1" ht="35.1" customHeight="1" spans="2:14">
      <c r="B40" s="104" t="s">
        <v>46</v>
      </c>
      <c r="C40" s="101"/>
      <c r="D40" s="40"/>
      <c r="E40" s="40"/>
      <c r="F40" s="40"/>
      <c r="G40" s="40"/>
      <c r="H40" s="40"/>
      <c r="I40" s="39"/>
      <c r="J40" s="41" t="e">
        <f>+#REF!+#REF!+#REF!+#REF!+#REF!+#REF!+D40+E40+F40+G40+H40+I40</f>
        <v>#REF!</v>
      </c>
      <c r="K40" s="101"/>
      <c r="L40" s="101"/>
      <c r="M40" s="101"/>
      <c r="N40" s="102" t="e">
        <f>+#REF!+#REF!+#REF!+#REF!+#REF!+#REF!+L40+K40</f>
        <v>#REF!</v>
      </c>
    </row>
    <row r="41" s="10" customFormat="1" ht="35.1" customHeight="1" spans="2:14">
      <c r="B41" s="104" t="s">
        <v>47</v>
      </c>
      <c r="C41" s="101"/>
      <c r="D41" s="40"/>
      <c r="E41" s="40"/>
      <c r="F41" s="40"/>
      <c r="G41" s="40"/>
      <c r="H41" s="40"/>
      <c r="I41" s="39"/>
      <c r="J41" s="41" t="e">
        <f>+#REF!+#REF!+#REF!+#REF!+#REF!+#REF!+D41+E41+F41+G41+H41+I41</f>
        <v>#REF!</v>
      </c>
      <c r="K41" s="101"/>
      <c r="L41" s="101"/>
      <c r="M41" s="101"/>
      <c r="N41" s="102" t="e">
        <f>+#REF!+#REF!+#REF!+#REF!+#REF!+#REF!+L41+K41</f>
        <v>#REF!</v>
      </c>
    </row>
    <row r="42" s="10" customFormat="1" ht="35.1" customHeight="1" spans="2:14">
      <c r="B42" s="104" t="s">
        <v>48</v>
      </c>
      <c r="C42" s="101"/>
      <c r="D42" s="40"/>
      <c r="E42" s="40"/>
      <c r="F42" s="40"/>
      <c r="G42" s="40"/>
      <c r="H42" s="40"/>
      <c r="I42" s="39"/>
      <c r="J42" s="41" t="e">
        <f>+#REF!+#REF!+#REF!+#REF!+#REF!+#REF!+D42+E42+F42+G42+H42+I42</f>
        <v>#REF!</v>
      </c>
      <c r="K42" s="101"/>
      <c r="L42" s="101"/>
      <c r="M42" s="101"/>
      <c r="N42" s="102" t="e">
        <f>+#REF!+#REF!+#REF!+#REF!+#REF!+#REF!+L42+K42</f>
        <v>#REF!</v>
      </c>
    </row>
    <row r="43" s="10" customFormat="1" ht="35.1" customHeight="1" spans="2:14">
      <c r="B43" s="100" t="s">
        <v>49</v>
      </c>
      <c r="C43" s="101"/>
      <c r="D43" s="40"/>
      <c r="E43" s="40"/>
      <c r="F43" s="40"/>
      <c r="G43" s="40"/>
      <c r="H43" s="40"/>
      <c r="I43" s="39"/>
      <c r="J43" s="41" t="e">
        <f>+#REF!+#REF!+#REF!+#REF!+#REF!+#REF!+D43+E43+F43+G43+H43+I43</f>
        <v>#REF!</v>
      </c>
      <c r="K43" s="101">
        <v>1328872.4</v>
      </c>
      <c r="L43" s="101">
        <v>0</v>
      </c>
      <c r="M43" s="101">
        <v>0</v>
      </c>
      <c r="N43" s="102" t="e">
        <f>+#REF!+#REF!+#REF!+#REF!+#REF!+#REF!+L43+K43</f>
        <v>#REF!</v>
      </c>
    </row>
    <row r="44" s="10" customFormat="1" ht="35.1" customHeight="1" spans="2:14">
      <c r="B44" s="104" t="s">
        <v>50</v>
      </c>
      <c r="C44" s="99"/>
      <c r="D44" s="35"/>
      <c r="E44" s="35"/>
      <c r="F44" s="35"/>
      <c r="G44" s="40"/>
      <c r="H44" s="40"/>
      <c r="I44" s="39"/>
      <c r="J44" s="41" t="e">
        <f>+#REF!+#REF!+#REF!+#REF!+#REF!+#REF!+D44+E44+F44+G44+H44+I44</f>
        <v>#REF!</v>
      </c>
      <c r="K44" s="99">
        <v>0</v>
      </c>
      <c r="L44" s="99">
        <v>0</v>
      </c>
      <c r="M44" s="99">
        <v>0</v>
      </c>
      <c r="N44" s="102" t="e">
        <f>+#REF!+#REF!+#REF!+#REF!+#REF!+#REF!+L44+K44</f>
        <v>#REF!</v>
      </c>
    </row>
    <row r="45" s="10" customFormat="1" ht="35.1" customHeight="1" spans="2:14">
      <c r="B45" s="97" t="s">
        <v>51</v>
      </c>
      <c r="C45" s="99">
        <v>0</v>
      </c>
      <c r="D45" s="40"/>
      <c r="E45" s="40"/>
      <c r="F45" s="40"/>
      <c r="G45" s="40"/>
      <c r="H45" s="40"/>
      <c r="I45" s="39"/>
      <c r="J45" s="41" t="e">
        <f>+#REF!+#REF!+#REF!+#REF!+#REF!+#REF!+D45+E45+F45+G45+H45+I45</f>
        <v>#REF!</v>
      </c>
      <c r="K45" s="101"/>
      <c r="L45" s="101"/>
      <c r="M45" s="101"/>
      <c r="N45" s="102" t="e">
        <f>+#REF!+#REF!+#REF!+#REF!+#REF!+#REF!+L45+K45</f>
        <v>#REF!</v>
      </c>
    </row>
    <row r="46" s="10" customFormat="1" ht="35.1" customHeight="1" spans="2:14">
      <c r="B46" s="100" t="s">
        <v>123</v>
      </c>
      <c r="C46" s="101"/>
      <c r="D46" s="40"/>
      <c r="E46" s="40"/>
      <c r="F46" s="40"/>
      <c r="G46" s="40"/>
      <c r="H46" s="40"/>
      <c r="I46" s="39"/>
      <c r="J46" s="41" t="e">
        <f>+#REF!+#REF!+#REF!+#REF!+#REF!+#REF!+D46+E46+F46+G46+H46+I46</f>
        <v>#REF!</v>
      </c>
      <c r="K46" s="101"/>
      <c r="L46" s="101"/>
      <c r="M46" s="101"/>
      <c r="N46" s="102" t="e">
        <f>+#REF!+#REF!+#REF!+#REF!+#REF!+#REF!+L46+K46</f>
        <v>#REF!</v>
      </c>
    </row>
    <row r="47" s="10" customFormat="1" ht="35.1" customHeight="1" spans="2:14">
      <c r="B47" s="104" t="s">
        <v>52</v>
      </c>
      <c r="C47" s="101"/>
      <c r="D47" s="40"/>
      <c r="E47" s="40"/>
      <c r="F47" s="40"/>
      <c r="G47" s="40"/>
      <c r="H47" s="40"/>
      <c r="I47" s="39"/>
      <c r="J47" s="41" t="e">
        <f>+#REF!+#REF!+#REF!+#REF!+#REF!+#REF!+D47+E47+F47+G47+H47+I47</f>
        <v>#REF!</v>
      </c>
      <c r="K47" s="101"/>
      <c r="L47" s="101"/>
      <c r="M47" s="101"/>
      <c r="N47" s="102" t="e">
        <f>+#REF!+#REF!+#REF!+#REF!+#REF!+#REF!+L47+K47</f>
        <v>#REF!</v>
      </c>
    </row>
    <row r="48" s="10" customFormat="1" ht="35.1" customHeight="1" spans="2:14">
      <c r="B48" s="104" t="s">
        <v>53</v>
      </c>
      <c r="C48" s="101"/>
      <c r="D48" s="40"/>
      <c r="E48" s="40"/>
      <c r="F48" s="40"/>
      <c r="G48" s="40"/>
      <c r="H48" s="40"/>
      <c r="I48" s="39"/>
      <c r="J48" s="41" t="e">
        <f>+#REF!+#REF!+#REF!+#REF!+#REF!+#REF!+D48+E48+F48+G48+H48+I48</f>
        <v>#REF!</v>
      </c>
      <c r="K48" s="101"/>
      <c r="L48" s="101"/>
      <c r="M48" s="101"/>
      <c r="N48" s="102" t="e">
        <f>+#REF!+#REF!+#REF!+#REF!+#REF!+#REF!+L48+K48</f>
        <v>#REF!</v>
      </c>
    </row>
    <row r="49" s="10" customFormat="1" ht="35.1" customHeight="1" spans="2:14">
      <c r="B49" s="104" t="s">
        <v>54</v>
      </c>
      <c r="C49" s="101"/>
      <c r="D49" s="40"/>
      <c r="E49" s="40"/>
      <c r="F49" s="40"/>
      <c r="G49" s="40"/>
      <c r="H49" s="40"/>
      <c r="I49" s="39"/>
      <c r="J49" s="41" t="e">
        <f>+#REF!+#REF!+#REF!+#REF!+#REF!+#REF!+D49+E49+F49+G49+H49+I49</f>
        <v>#REF!</v>
      </c>
      <c r="K49" s="101"/>
      <c r="L49" s="101"/>
      <c r="M49" s="101"/>
      <c r="N49" s="102" t="e">
        <f>+#REF!+#REF!+#REF!+#REF!+#REF!+#REF!+L49+K49</f>
        <v>#REF!</v>
      </c>
    </row>
    <row r="50" s="10" customFormat="1" ht="35.1" customHeight="1" spans="2:14">
      <c r="B50" s="100" t="s">
        <v>55</v>
      </c>
      <c r="C50" s="101"/>
      <c r="D50" s="40"/>
      <c r="E50" s="40"/>
      <c r="F50" s="40"/>
      <c r="G50" s="40"/>
      <c r="H50" s="40"/>
      <c r="I50" s="39"/>
      <c r="J50" s="41" t="e">
        <f>+#REF!+#REF!+#REF!+#REF!+#REF!+#REF!+D50+E50+F50+G50+H50+I50</f>
        <v>#REF!</v>
      </c>
      <c r="K50" s="101"/>
      <c r="L50" s="101"/>
      <c r="M50" s="101"/>
      <c r="N50" s="102" t="e">
        <f>+#REF!+#REF!+#REF!+#REF!+#REF!+#REF!+L50+K50</f>
        <v>#REF!</v>
      </c>
    </row>
    <row r="51" s="10" customFormat="1" ht="35.1" customHeight="1" spans="2:14">
      <c r="B51" s="104" t="s">
        <v>56</v>
      </c>
      <c r="C51" s="101"/>
      <c r="D51" s="40"/>
      <c r="E51" s="40"/>
      <c r="F51" s="40"/>
      <c r="G51" s="40"/>
      <c r="H51" s="40"/>
      <c r="I51" s="39"/>
      <c r="J51" s="41" t="e">
        <f>+#REF!+#REF!+#REF!+#REF!+#REF!+#REF!+D51+E51+F51+G51+H51+I51</f>
        <v>#REF!</v>
      </c>
      <c r="K51" s="101"/>
      <c r="L51" s="101"/>
      <c r="M51" s="101"/>
      <c r="N51" s="102" t="e">
        <f>+#REF!+#REF!+#REF!+#REF!+#REF!+#REF!+L51+K51</f>
        <v>#REF!</v>
      </c>
    </row>
    <row r="52" s="10" customFormat="1" ht="35.1" customHeight="1" spans="2:14">
      <c r="B52" s="97" t="s">
        <v>57</v>
      </c>
      <c r="C52" s="99">
        <f>SUM(C53:C61)</f>
        <v>139200000</v>
      </c>
      <c r="D52" s="35"/>
      <c r="E52" s="35"/>
      <c r="F52" s="35"/>
      <c r="G52" s="35"/>
      <c r="H52" s="35"/>
      <c r="I52" s="35"/>
      <c r="J52" s="36" t="e">
        <f>+J53+J54+J55+J56+J57+J58+J59+J60+J61</f>
        <v>#REF!</v>
      </c>
      <c r="K52" s="99">
        <f t="shared" ref="K52" si="6">SUM(K53:K61)</f>
        <v>0</v>
      </c>
      <c r="L52" s="99">
        <f t="shared" ref="L52" si="7">SUM(L53:L61)</f>
        <v>427619.02</v>
      </c>
      <c r="M52" s="99">
        <f t="shared" ref="M52:N52" si="8">SUM(M53:M61)</f>
        <v>34004809.6</v>
      </c>
      <c r="N52" s="99" t="e">
        <f t="shared" si="8"/>
        <v>#REF!</v>
      </c>
    </row>
    <row r="53" s="10" customFormat="1" ht="35.1" customHeight="1" spans="2:14">
      <c r="B53" s="100" t="s">
        <v>58</v>
      </c>
      <c r="C53" s="101">
        <v>85300000</v>
      </c>
      <c r="D53" s="40"/>
      <c r="E53" s="40"/>
      <c r="F53" s="40"/>
      <c r="G53" s="40"/>
      <c r="H53" s="40"/>
      <c r="I53" s="39"/>
      <c r="J53" s="41" t="e">
        <f>+#REF!+#REF!+#REF!+#REF!+#REF!+#REF!+D53+E53+F53+G53+H53+I53</f>
        <v>#REF!</v>
      </c>
      <c r="K53" s="101"/>
      <c r="L53" s="101">
        <v>246620</v>
      </c>
      <c r="M53" s="101">
        <v>144809.6</v>
      </c>
      <c r="N53" s="102" t="e">
        <f>+#REF!+#REF!+#REF!+#REF!+#REF!+#REF!+L53+K53+M53</f>
        <v>#REF!</v>
      </c>
    </row>
    <row r="54" s="10" customFormat="1" ht="35.1" customHeight="1" spans="2:14">
      <c r="B54" s="104" t="s">
        <v>59</v>
      </c>
      <c r="C54" s="101">
        <v>900000</v>
      </c>
      <c r="D54" s="40"/>
      <c r="E54" s="40"/>
      <c r="F54" s="40"/>
      <c r="G54" s="40"/>
      <c r="H54" s="40"/>
      <c r="I54" s="39"/>
      <c r="J54" s="41" t="e">
        <f>+#REF!+#REF!+#REF!+#REF!+#REF!+#REF!+D54+E54+F54+G54+H54+I54</f>
        <v>#REF!</v>
      </c>
      <c r="K54" s="101"/>
      <c r="L54" s="101"/>
      <c r="M54" s="101"/>
      <c r="N54" s="102" t="e">
        <f>+#REF!+#REF!+#REF!+#REF!+#REF!+#REF!+L54+K54+M54</f>
        <v>#REF!</v>
      </c>
    </row>
    <row r="55" s="10" customFormat="1" ht="35.1" customHeight="1" spans="2:14">
      <c r="B55" s="100" t="s">
        <v>60</v>
      </c>
      <c r="C55" s="101">
        <v>250000</v>
      </c>
      <c r="D55" s="40"/>
      <c r="E55" s="40"/>
      <c r="F55" s="40"/>
      <c r="G55" s="40"/>
      <c r="H55" s="40"/>
      <c r="I55" s="39"/>
      <c r="J55" s="41" t="e">
        <f>+#REF!+#REF!+#REF!+#REF!+#REF!+#REF!+D55+E55+F55+G55+H55+I55</f>
        <v>#REF!</v>
      </c>
      <c r="K55" s="101"/>
      <c r="L55" s="101"/>
      <c r="M55" s="101"/>
      <c r="N55" s="102" t="e">
        <f>+#REF!+#REF!+#REF!+#REF!+#REF!+#REF!+L55+K55+M55</f>
        <v>#REF!</v>
      </c>
    </row>
    <row r="56" s="10" customFormat="1" ht="35.1" customHeight="1" spans="2:14">
      <c r="B56" s="104" t="s">
        <v>61</v>
      </c>
      <c r="C56" s="101">
        <v>30250000</v>
      </c>
      <c r="D56" s="40"/>
      <c r="E56" s="40"/>
      <c r="F56" s="40"/>
      <c r="G56" s="40"/>
      <c r="H56" s="40"/>
      <c r="I56" s="39"/>
      <c r="J56" s="41" t="e">
        <f>+#REF!+#REF!+#REF!+#REF!+#REF!+#REF!+D56+E56+F56+G56+H56+I56</f>
        <v>#REF!</v>
      </c>
      <c r="K56" s="101"/>
      <c r="L56" s="101"/>
      <c r="M56" s="101">
        <v>29960000</v>
      </c>
      <c r="N56" s="102" t="e">
        <f>+#REF!+#REF!+#REF!+#REF!+#REF!+#REF!+L56+K56+M56</f>
        <v>#REF!</v>
      </c>
    </row>
    <row r="57" s="10" customFormat="1" ht="35.1" customHeight="1" spans="2:14">
      <c r="B57" s="100" t="s">
        <v>62</v>
      </c>
      <c r="C57" s="101">
        <v>16700000</v>
      </c>
      <c r="D57" s="40"/>
      <c r="E57" s="40"/>
      <c r="F57" s="40"/>
      <c r="G57" s="40"/>
      <c r="H57" s="40"/>
      <c r="I57" s="39"/>
      <c r="J57" s="41" t="e">
        <f>+#REF!+#REF!+#REF!+#REF!+#REF!+#REF!+D57+E57+F57+G57+H57+I57</f>
        <v>#REF!</v>
      </c>
      <c r="K57" s="101"/>
      <c r="L57" s="101"/>
      <c r="M57" s="101"/>
      <c r="N57" s="102" t="e">
        <f>+#REF!+#REF!+#REF!+#REF!+#REF!+#REF!+L57+K57+M57</f>
        <v>#REF!</v>
      </c>
    </row>
    <row r="58" s="10" customFormat="1" ht="35.1" customHeight="1" spans="2:14">
      <c r="B58" s="100" t="s">
        <v>63</v>
      </c>
      <c r="C58" s="101">
        <v>5000000</v>
      </c>
      <c r="D58" s="40"/>
      <c r="E58" s="40"/>
      <c r="F58" s="40"/>
      <c r="G58" s="40"/>
      <c r="H58" s="40"/>
      <c r="I58" s="39"/>
      <c r="J58" s="41" t="e">
        <f>+#REF!+#REF!+#REF!+#REF!+#REF!+#REF!+D58+E58+F58+G58+H58+I58</f>
        <v>#REF!</v>
      </c>
      <c r="K58" s="101"/>
      <c r="L58" s="101"/>
      <c r="M58" s="101"/>
      <c r="N58" s="102" t="e">
        <f>+#REF!+#REF!+#REF!+#REF!+#REF!+#REF!+L58+K58+M58</f>
        <v>#REF!</v>
      </c>
    </row>
    <row r="59" s="10" customFormat="1" ht="35.1" customHeight="1" spans="2:14">
      <c r="B59" s="100" t="s">
        <v>64</v>
      </c>
      <c r="C59" s="101"/>
      <c r="D59" s="40"/>
      <c r="E59" s="40"/>
      <c r="F59" s="40"/>
      <c r="G59" s="40"/>
      <c r="H59" s="40"/>
      <c r="I59" s="39"/>
      <c r="J59" s="41" t="e">
        <f>+#REF!+#REF!+#REF!+#REF!+#REF!+#REF!+D59+E59+F59+G59+H59+I59</f>
        <v>#REF!</v>
      </c>
      <c r="K59" s="101"/>
      <c r="L59" s="101"/>
      <c r="M59" s="101"/>
      <c r="N59" s="102" t="e">
        <f>+#REF!+#REF!+#REF!+#REF!+#REF!+#REF!+L59+K59+M59</f>
        <v>#REF!</v>
      </c>
    </row>
    <row r="60" s="10" customFormat="1" ht="35.1" customHeight="1" spans="2:14">
      <c r="B60" s="100" t="s">
        <v>65</v>
      </c>
      <c r="C60" s="101">
        <v>300000</v>
      </c>
      <c r="D60" s="40"/>
      <c r="E60" s="40"/>
      <c r="F60" s="40"/>
      <c r="G60" s="40"/>
      <c r="H60" s="40"/>
      <c r="I60" s="39"/>
      <c r="J60" s="41" t="e">
        <f>+#REF!+#REF!+#REF!+#REF!+#REF!+#REF!+D60+E60+F60+G60+H60+I60</f>
        <v>#REF!</v>
      </c>
      <c r="K60" s="101"/>
      <c r="L60" s="101">
        <v>180999.02</v>
      </c>
      <c r="M60" s="101">
        <v>3900000</v>
      </c>
      <c r="N60" s="102" t="e">
        <f>+#REF!+#REF!+#REF!+#REF!+#REF!+#REF!+L60+K60+M60</f>
        <v>#REF!</v>
      </c>
    </row>
    <row r="61" s="10" customFormat="1" ht="35.1" customHeight="1" spans="2:14">
      <c r="B61" s="104" t="s">
        <v>66</v>
      </c>
      <c r="C61" s="101">
        <v>500000</v>
      </c>
      <c r="D61" s="40"/>
      <c r="E61" s="40"/>
      <c r="F61" s="40"/>
      <c r="G61" s="40"/>
      <c r="H61" s="40"/>
      <c r="I61" s="39"/>
      <c r="J61" s="41" t="e">
        <f>+#REF!+#REF!+#REF!+#REF!+#REF!+#REF!+D61+E61+F61+G61+H61+I61</f>
        <v>#REF!</v>
      </c>
      <c r="K61" s="101"/>
      <c r="L61" s="101"/>
      <c r="M61" s="101"/>
      <c r="N61" s="102" t="e">
        <f>+#REF!+#REF!+#REF!+#REF!+#REF!+#REF!+L61+K61+M61</f>
        <v>#REF!</v>
      </c>
    </row>
    <row r="62" s="10" customFormat="1" ht="35.1" customHeight="1" spans="2:14">
      <c r="B62" s="97" t="s">
        <v>67</v>
      </c>
      <c r="C62" s="99">
        <f>SUM(C63:C66)</f>
        <v>40000000</v>
      </c>
      <c r="D62" s="35"/>
      <c r="E62" s="35"/>
      <c r="F62" s="35"/>
      <c r="G62" s="35"/>
      <c r="H62" s="35"/>
      <c r="I62" s="39"/>
      <c r="J62" s="41" t="e">
        <f>+#REF!+#REF!+#REF!+#REF!+#REF!+#REF!+D62+E62+F62+G62+H62+I62</f>
        <v>#REF!</v>
      </c>
      <c r="K62" s="99"/>
      <c r="L62" s="99">
        <f t="shared" ref="L62:M62" si="9">SUM(L63:L65)</f>
        <v>2800000</v>
      </c>
      <c r="M62" s="99">
        <f t="shared" si="9"/>
        <v>0</v>
      </c>
      <c r="N62" s="99" t="e">
        <f>SUM(N63:N71)</f>
        <v>#REF!</v>
      </c>
    </row>
    <row r="63" s="10" customFormat="1" ht="35.1" customHeight="1" spans="2:14">
      <c r="B63" s="100" t="s">
        <v>68</v>
      </c>
      <c r="C63" s="101">
        <v>40000000</v>
      </c>
      <c r="D63" s="40"/>
      <c r="E63" s="40"/>
      <c r="F63" s="40"/>
      <c r="G63" s="40"/>
      <c r="H63" s="40"/>
      <c r="I63" s="39"/>
      <c r="J63" s="41" t="e">
        <f>+#REF!+#REF!+#REF!+#REF!+#REF!+#REF!+D63+E63+F63+G63+H63+I63</f>
        <v>#REF!</v>
      </c>
      <c r="K63" s="101"/>
      <c r="L63" s="101">
        <v>2800000</v>
      </c>
      <c r="M63" s="101">
        <v>0</v>
      </c>
      <c r="N63" s="102" t="e">
        <f>+#REF!+#REF!+#REF!+#REF!+#REF!+#REF!+L63+K63</f>
        <v>#REF!</v>
      </c>
    </row>
    <row r="64" s="10" customFormat="1" ht="35.1" customHeight="1" spans="2:14">
      <c r="B64" s="100" t="s">
        <v>69</v>
      </c>
      <c r="C64" s="101"/>
      <c r="D64" s="40"/>
      <c r="E64" s="40"/>
      <c r="F64" s="40"/>
      <c r="G64" s="40"/>
      <c r="H64" s="40"/>
      <c r="I64" s="39"/>
      <c r="J64" s="41" t="e">
        <f>+#REF!+#REF!+#REF!+#REF!+#REF!+#REF!+D64+E64+F64+G64+H64+I64</f>
        <v>#REF!</v>
      </c>
      <c r="K64" s="101"/>
      <c r="L64" s="101"/>
      <c r="M64" s="101"/>
      <c r="N64" s="102" t="e">
        <f>+#REF!+#REF!+#REF!+#REF!+#REF!+#REF!+L64+K64</f>
        <v>#REF!</v>
      </c>
    </row>
    <row r="65" s="10" customFormat="1" ht="35.1" customHeight="1" spans="2:14">
      <c r="B65" s="100" t="s">
        <v>70</v>
      </c>
      <c r="C65" s="101"/>
      <c r="D65" s="40"/>
      <c r="E65" s="40"/>
      <c r="F65" s="40"/>
      <c r="G65" s="40"/>
      <c r="H65" s="40"/>
      <c r="I65" s="39"/>
      <c r="J65" s="41" t="e">
        <f>+#REF!+#REF!+#REF!+#REF!+#REF!+#REF!+D65+E65+F65+G65+H65+I65</f>
        <v>#REF!</v>
      </c>
      <c r="K65" s="101"/>
      <c r="L65" s="101"/>
      <c r="M65" s="101"/>
      <c r="N65" s="102" t="e">
        <f>+#REF!+#REF!+#REF!+#REF!+#REF!+#REF!+L65+K65</f>
        <v>#REF!</v>
      </c>
    </row>
    <row r="66" s="10" customFormat="1" ht="35.1" customHeight="1" spans="2:14">
      <c r="B66" s="104" t="s">
        <v>71</v>
      </c>
      <c r="C66" s="101"/>
      <c r="D66" s="40"/>
      <c r="E66" s="40"/>
      <c r="F66" s="40"/>
      <c r="G66" s="40"/>
      <c r="H66" s="40"/>
      <c r="I66" s="39"/>
      <c r="J66" s="41" t="e">
        <f>+#REF!+#REF!+#REF!+#REF!+#REF!+#REF!+D66+E66+F66+G66+H66+I66</f>
        <v>#REF!</v>
      </c>
      <c r="K66" s="101"/>
      <c r="L66" s="101"/>
      <c r="M66" s="101"/>
      <c r="N66" s="102" t="e">
        <f>+#REF!+#REF!+#REF!+#REF!+#REF!+#REF!+L66+K66</f>
        <v>#REF!</v>
      </c>
    </row>
    <row r="67" s="10" customFormat="1" ht="35.1" customHeight="1" spans="2:14">
      <c r="B67" s="106" t="s">
        <v>72</v>
      </c>
      <c r="C67" s="99"/>
      <c r="D67" s="35"/>
      <c r="E67" s="35"/>
      <c r="F67" s="35"/>
      <c r="G67" s="35"/>
      <c r="H67" s="40"/>
      <c r="I67" s="39"/>
      <c r="J67" s="41" t="e">
        <f>+#REF!+#REF!+#REF!+#REF!+#REF!+#REF!+D67+E67+F67+G67+H67+I67</f>
        <v>#REF!</v>
      </c>
      <c r="K67" s="99"/>
      <c r="L67" s="99"/>
      <c r="M67" s="99"/>
      <c r="N67" s="102" t="e">
        <f>+#REF!+#REF!+#REF!+#REF!+#REF!+#REF!+L67+K67</f>
        <v>#REF!</v>
      </c>
    </row>
    <row r="68" s="10" customFormat="1" ht="35.1" customHeight="1" spans="2:14">
      <c r="B68" s="100" t="s">
        <v>73</v>
      </c>
      <c r="C68" s="101"/>
      <c r="D68" s="40"/>
      <c r="E68" s="40"/>
      <c r="F68" s="40"/>
      <c r="G68" s="40"/>
      <c r="H68" s="40"/>
      <c r="I68" s="39"/>
      <c r="J68" s="41" t="e">
        <f>+#REF!+#REF!+#REF!+#REF!+#REF!+#REF!+D68+E68+F68+G68+H68+I68</f>
        <v>#REF!</v>
      </c>
      <c r="K68" s="101"/>
      <c r="L68" s="101"/>
      <c r="M68" s="101"/>
      <c r="N68" s="102" t="e">
        <f>+#REF!+#REF!+#REF!+#REF!+#REF!+#REF!+L68+K68</f>
        <v>#REF!</v>
      </c>
    </row>
    <row r="69" s="10" customFormat="1" ht="35.1" customHeight="1" spans="2:14">
      <c r="B69" s="104" t="s">
        <v>74</v>
      </c>
      <c r="C69" s="101"/>
      <c r="D69" s="40"/>
      <c r="E69" s="40"/>
      <c r="F69" s="40"/>
      <c r="G69" s="40"/>
      <c r="H69" s="40"/>
      <c r="I69" s="39"/>
      <c r="J69" s="41" t="e">
        <f>+#REF!+#REF!+#REF!+#REF!+#REF!+#REF!+D69+E69+F69+G69+H69+I69</f>
        <v>#REF!</v>
      </c>
      <c r="K69" s="101"/>
      <c r="L69" s="101"/>
      <c r="M69" s="101"/>
      <c r="N69" s="102" t="e">
        <f>+#REF!+#REF!+#REF!+#REF!+#REF!+#REF!+L69+K69</f>
        <v>#REF!</v>
      </c>
    </row>
    <row r="70" s="10" customFormat="1" ht="35.1" customHeight="1" spans="2:14">
      <c r="B70" s="97" t="s">
        <v>75</v>
      </c>
      <c r="C70" s="99">
        <f>SUM(C71:C73)</f>
        <v>0</v>
      </c>
      <c r="D70" s="35"/>
      <c r="E70" s="35"/>
      <c r="F70" s="35"/>
      <c r="G70" s="35"/>
      <c r="H70" s="40"/>
      <c r="I70" s="39"/>
      <c r="J70" s="41" t="e">
        <f>+#REF!+#REF!+#REF!+#REF!+#REF!+#REF!+D70+E70+F70+G70+H70+I70</f>
        <v>#REF!</v>
      </c>
      <c r="K70" s="99"/>
      <c r="L70" s="99"/>
      <c r="M70" s="99"/>
      <c r="N70" s="102" t="e">
        <f>+#REF!+#REF!+#REF!+#REF!+#REF!+#REF!+L70+K70</f>
        <v>#REF!</v>
      </c>
    </row>
    <row r="71" s="10" customFormat="1" ht="35.1" customHeight="1" spans="2:14">
      <c r="B71" s="100" t="s">
        <v>76</v>
      </c>
      <c r="C71" s="101"/>
      <c r="D71" s="40"/>
      <c r="E71" s="40"/>
      <c r="F71" s="40"/>
      <c r="G71" s="40"/>
      <c r="H71" s="40"/>
      <c r="I71" s="39"/>
      <c r="J71" s="41" t="e">
        <f>+#REF!+#REF!+#REF!+#REF!+#REF!+#REF!+D71+E71+F71+G71+H71+I71</f>
        <v>#REF!</v>
      </c>
      <c r="K71" s="101"/>
      <c r="L71" s="101"/>
      <c r="M71" s="101"/>
      <c r="N71" s="102" t="e">
        <f>+#REF!+#REF!+#REF!+#REF!+#REF!+#REF!+L71+K71</f>
        <v>#REF!</v>
      </c>
    </row>
    <row r="72" s="10" customFormat="1" ht="35.1" customHeight="1" spans="2:14">
      <c r="B72" s="100" t="s">
        <v>77</v>
      </c>
      <c r="C72" s="101"/>
      <c r="D72" s="40"/>
      <c r="E72" s="40"/>
      <c r="F72" s="40"/>
      <c r="G72" s="40"/>
      <c r="H72" s="40"/>
      <c r="I72" s="39"/>
      <c r="J72" s="41" t="e">
        <f>+#REF!+#REF!+#REF!+#REF!+#REF!+#REF!+D72+E72+F72+G72+H72+I72</f>
        <v>#REF!</v>
      </c>
      <c r="K72" s="101"/>
      <c r="L72" s="101"/>
      <c r="M72" s="101"/>
      <c r="N72" s="102" t="e">
        <f>+#REF!+#REF!+#REF!+#REF!+#REF!+#REF!+L72+K72</f>
        <v>#REF!</v>
      </c>
    </row>
    <row r="73" s="10" customFormat="1" ht="35.1" customHeight="1" spans="2:14">
      <c r="B73" s="104" t="s">
        <v>78</v>
      </c>
      <c r="C73" s="101"/>
      <c r="D73" s="40"/>
      <c r="E73" s="40"/>
      <c r="F73" s="40"/>
      <c r="G73" s="40"/>
      <c r="H73" s="40"/>
      <c r="I73" s="39"/>
      <c r="J73" s="41" t="e">
        <f>+#REF!+#REF!+#REF!+#REF!+#REF!+#REF!+D73+E73+F73+G73+H73+I73</f>
        <v>#REF!</v>
      </c>
      <c r="K73" s="101"/>
      <c r="L73" s="101"/>
      <c r="M73" s="101"/>
      <c r="N73" s="102" t="e">
        <f>+#REF!+#REF!+#REF!+#REF!+#REF!+#REF!+L73+K73</f>
        <v>#REF!</v>
      </c>
    </row>
    <row r="74" s="10" customFormat="1" ht="35.1" customHeight="1" spans="2:14">
      <c r="B74" s="97" t="s">
        <v>79</v>
      </c>
      <c r="C74" s="107"/>
      <c r="D74" s="48"/>
      <c r="E74" s="48"/>
      <c r="F74" s="48"/>
      <c r="G74" s="48"/>
      <c r="H74" s="48"/>
      <c r="I74" s="47"/>
      <c r="J74" s="47"/>
      <c r="K74" s="107"/>
      <c r="L74" s="107"/>
      <c r="M74" s="107"/>
      <c r="N74" s="102" t="e">
        <f>+#REF!+#REF!+#REF!+#REF!+#REF!+#REF!+L74+K74</f>
        <v>#REF!</v>
      </c>
    </row>
    <row r="75" s="10" customFormat="1" ht="35.1" customHeight="1" spans="2:14">
      <c r="B75" s="97" t="s">
        <v>80</v>
      </c>
      <c r="C75" s="107"/>
      <c r="D75" s="43"/>
      <c r="E75" s="43"/>
      <c r="F75" s="43"/>
      <c r="G75" s="43"/>
      <c r="H75" s="43"/>
      <c r="I75" s="39"/>
      <c r="J75" s="41" t="e">
        <f>+#REF!+#REF!+#REF!+#REF!+#REF!+#REF!+D75+E75+F75+G75+H75+I75</f>
        <v>#REF!</v>
      </c>
      <c r="K75" s="107"/>
      <c r="L75" s="107"/>
      <c r="M75" s="107"/>
      <c r="N75" s="102" t="e">
        <f>+#REF!+#REF!+#REF!+#REF!+#REF!+#REF!+L75+K75</f>
        <v>#REF!</v>
      </c>
    </row>
    <row r="76" s="10" customFormat="1" ht="35.1" customHeight="1" spans="2:14">
      <c r="B76" s="100" t="s">
        <v>81</v>
      </c>
      <c r="C76" s="108"/>
      <c r="D76" s="43"/>
      <c r="E76" s="43"/>
      <c r="F76" s="43"/>
      <c r="G76" s="43"/>
      <c r="H76" s="43"/>
      <c r="I76" s="39"/>
      <c r="J76" s="41" t="e">
        <f>+#REF!+#REF!+#REF!+#REF!+#REF!+#REF!+D76+E76+F76+G76+H76+I76</f>
        <v>#REF!</v>
      </c>
      <c r="K76" s="108"/>
      <c r="L76" s="108"/>
      <c r="M76" s="108"/>
      <c r="N76" s="102" t="e">
        <f>+#REF!+#REF!+#REF!+#REF!+#REF!+#REF!+L76+K76</f>
        <v>#REF!</v>
      </c>
    </row>
    <row r="77" s="10" customFormat="1" ht="35.1" customHeight="1" spans="2:14">
      <c r="B77" s="100" t="s">
        <v>82</v>
      </c>
      <c r="C77" s="108"/>
      <c r="D77" s="43"/>
      <c r="E77" s="43"/>
      <c r="F77" s="43"/>
      <c r="G77" s="43"/>
      <c r="H77" s="43"/>
      <c r="I77" s="39"/>
      <c r="J77" s="41" t="e">
        <f>+#REF!+#REF!+#REF!+#REF!+#REF!+#REF!+D77+E77+F77+G77+H77+I77</f>
        <v>#REF!</v>
      </c>
      <c r="K77" s="108"/>
      <c r="L77" s="108"/>
      <c r="M77" s="108"/>
      <c r="N77" s="102" t="e">
        <f>+#REF!+#REF!+#REF!+#REF!+#REF!+#REF!+L77+K77</f>
        <v>#REF!</v>
      </c>
    </row>
    <row r="78" s="10" customFormat="1" ht="35.1" customHeight="1" spans="2:14">
      <c r="B78" s="97" t="s">
        <v>83</v>
      </c>
      <c r="C78" s="107"/>
      <c r="D78" s="43"/>
      <c r="E78" s="43"/>
      <c r="F78" s="43"/>
      <c r="G78" s="43"/>
      <c r="H78" s="43"/>
      <c r="I78" s="39"/>
      <c r="J78" s="41" t="e">
        <f>+#REF!+#REF!+#REF!+#REF!+#REF!+#REF!+D78+E78+F78+G78+H78+I78</f>
        <v>#REF!</v>
      </c>
      <c r="K78" s="107"/>
      <c r="L78" s="107"/>
      <c r="M78" s="107"/>
      <c r="N78" s="102" t="e">
        <f>+#REF!+#REF!+#REF!+#REF!+#REF!+#REF!+L78+K78</f>
        <v>#REF!</v>
      </c>
    </row>
    <row r="79" s="10" customFormat="1" ht="35.1" customHeight="1" spans="2:14">
      <c r="B79" s="100" t="s">
        <v>84</v>
      </c>
      <c r="C79" s="108"/>
      <c r="D79" s="43"/>
      <c r="E79" s="43"/>
      <c r="F79" s="43"/>
      <c r="G79" s="43"/>
      <c r="H79" s="43"/>
      <c r="I79" s="39"/>
      <c r="J79" s="41" t="e">
        <f>+#REF!+#REF!+#REF!+#REF!+#REF!+#REF!+D79+E79+F79+G79+H79+I79</f>
        <v>#REF!</v>
      </c>
      <c r="K79" s="108"/>
      <c r="L79" s="108"/>
      <c r="M79" s="108"/>
      <c r="N79" s="102" t="e">
        <f>+#REF!+#REF!+#REF!+#REF!+#REF!+#REF!+L79+K79</f>
        <v>#REF!</v>
      </c>
    </row>
    <row r="80" s="10" customFormat="1" ht="35.1" customHeight="1" spans="2:14">
      <c r="B80" s="100" t="s">
        <v>85</v>
      </c>
      <c r="C80" s="108"/>
      <c r="D80" s="43"/>
      <c r="E80" s="43"/>
      <c r="F80" s="43"/>
      <c r="G80" s="43"/>
      <c r="H80" s="43"/>
      <c r="I80" s="39"/>
      <c r="J80" s="41" t="e">
        <f>+#REF!+#REF!+#REF!+#REF!+#REF!+#REF!+D80+E80+F80+G80+H80+I80</f>
        <v>#REF!</v>
      </c>
      <c r="K80" s="108"/>
      <c r="L80" s="108"/>
      <c r="M80" s="108"/>
      <c r="N80" s="102" t="e">
        <f>+#REF!+#REF!+#REF!+#REF!+#REF!+#REF!+L80+K80</f>
        <v>#REF!</v>
      </c>
    </row>
    <row r="81" s="10" customFormat="1" ht="35.1" customHeight="1" spans="2:14">
      <c r="B81" s="97" t="s">
        <v>86</v>
      </c>
      <c r="C81" s="107"/>
      <c r="D81" s="43"/>
      <c r="E81" s="43"/>
      <c r="F81" s="43"/>
      <c r="G81" s="43"/>
      <c r="H81" s="43"/>
      <c r="I81" s="39"/>
      <c r="J81" s="41" t="e">
        <f>+#REF!+#REF!+#REF!+#REF!+#REF!+#REF!+D81+E81+F81+G81+H81+I81</f>
        <v>#REF!</v>
      </c>
      <c r="K81" s="107"/>
      <c r="L81" s="107"/>
      <c r="M81" s="107"/>
      <c r="N81" s="102" t="e">
        <f>+#REF!+#REF!+#REF!+#REF!+#REF!+#REF!+L81+K81</f>
        <v>#REF!</v>
      </c>
    </row>
    <row r="82" s="10" customFormat="1" ht="35.1" customHeight="1" spans="2:14">
      <c r="B82" s="100" t="s">
        <v>87</v>
      </c>
      <c r="C82" s="108"/>
      <c r="D82" s="43"/>
      <c r="E82" s="43"/>
      <c r="F82" s="43"/>
      <c r="G82" s="43"/>
      <c r="H82" s="43"/>
      <c r="I82" s="39"/>
      <c r="J82" s="41" t="e">
        <f>+#REF!+#REF!+#REF!+#REF!+#REF!+#REF!+D82+E82+F82+G82+H82+I82</f>
        <v>#REF!</v>
      </c>
      <c r="K82" s="108"/>
      <c r="L82" s="108"/>
      <c r="M82" s="108"/>
      <c r="N82" s="102" t="e">
        <f>+#REF!+#REF!+#REF!+#REF!+#REF!+#REF!+L82+K82</f>
        <v>#REF!</v>
      </c>
    </row>
    <row r="83" s="10" customFormat="1" ht="35.1" customHeight="1" spans="2:14">
      <c r="B83" s="109" t="s">
        <v>88</v>
      </c>
      <c r="C83" s="110">
        <f>+C10+C16+C26+C36+C44+C52+C62+C67+C70</f>
        <v>2403578297</v>
      </c>
      <c r="D83" s="53"/>
      <c r="E83" s="53"/>
      <c r="F83" s="53"/>
      <c r="G83" s="53"/>
      <c r="H83" s="53"/>
      <c r="I83" s="53"/>
      <c r="J83" s="55" t="e">
        <f>+#REF!+#REF!+#REF!+#REF!+#REF!+#REF!+D83+E83+F83+G83+H83+I83</f>
        <v>#REF!</v>
      </c>
      <c r="K83" s="110">
        <f t="shared" ref="K83:M83" si="10">+K10+K16+K26+K36+K44+K52+K62+K67+K70</f>
        <v>39906941.62</v>
      </c>
      <c r="L83" s="110">
        <f t="shared" si="10"/>
        <v>83887293.8</v>
      </c>
      <c r="M83" s="110">
        <f t="shared" si="10"/>
        <v>161316008.19</v>
      </c>
      <c r="N83" s="110" t="e">
        <f>+N62+N52+N26+N16+N10+N36</f>
        <v>#REF!</v>
      </c>
    </row>
    <row r="84" ht="18.75" spans="2:14">
      <c r="B84" s="111" t="s">
        <v>124</v>
      </c>
      <c r="C84" s="8"/>
      <c r="N84" s="91"/>
    </row>
    <row r="85" ht="18.75" spans="2:14">
      <c r="B85" s="112" t="s">
        <v>90</v>
      </c>
      <c r="C85" s="91"/>
      <c r="F85" s="113"/>
      <c r="K85" s="91"/>
      <c r="L85" s="91"/>
      <c r="M85" s="91"/>
    </row>
    <row r="86" ht="37.5" spans="2:14">
      <c r="B86" s="112" t="s">
        <v>91</v>
      </c>
      <c r="N86" s="91"/>
    </row>
    <row r="87" ht="18.75" spans="2:14">
      <c r="B87" s="112" t="s">
        <v>92</v>
      </c>
    </row>
    <row r="88" ht="18.75" spans="2:14">
      <c r="B88" s="112" t="s">
        <v>93</v>
      </c>
    </row>
    <row r="89" ht="18.75" spans="2:14">
      <c r="B89" s="112" t="s">
        <v>94</v>
      </c>
    </row>
    <row r="90" ht="18.75" spans="2:14">
      <c r="B90" s="112" t="s">
        <v>95</v>
      </c>
    </row>
    <row r="91" spans="2:14">
      <c r="B91" s="114"/>
    </row>
    <row r="92" spans="2:14">
      <c r="B92" s="114"/>
    </row>
    <row r="93" spans="2:14">
      <c r="B93" s="114"/>
    </row>
    <row r="94" ht="24.95" customHeight="1" spans="2:14">
      <c r="B94" s="62" t="s">
        <v>129</v>
      </c>
      <c r="C94" s="57"/>
      <c r="D94" s="57"/>
      <c r="E94" s="57"/>
      <c r="F94" s="57"/>
      <c r="G94" s="57"/>
      <c r="H94" s="57"/>
      <c r="I94" s="57"/>
      <c r="J94" s="57"/>
      <c r="K94" s="58"/>
      <c r="L94" s="57"/>
      <c r="M94" s="57"/>
      <c r="N94" s="57"/>
    </row>
    <row r="95" ht="23.25" customHeight="1" spans="2:14">
      <c r="B95" s="115" t="s">
        <v>137</v>
      </c>
      <c r="C95" s="116"/>
      <c r="D95" s="116"/>
      <c r="E95" s="116"/>
      <c r="F95" s="116"/>
      <c r="G95" s="116"/>
      <c r="H95" s="116"/>
      <c r="I95" s="116"/>
      <c r="J95" s="116"/>
      <c r="K95" s="115"/>
      <c r="L95" s="116"/>
      <c r="M95" s="116"/>
      <c r="N95" s="116"/>
    </row>
    <row r="97" ht="33.75" customHeight="1" spans="1:14">
      <c r="A97" s="56" t="s">
        <v>97</v>
      </c>
    </row>
    <row r="98" ht="23.25" customHeight="1" spans="1:14">
      <c r="B98" s="62" t="s">
        <v>138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</row>
    <row r="99" ht="18.75" spans="1:14">
      <c r="B99" s="115" t="s">
        <v>139</v>
      </c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</row>
    <row r="100" ht="23.25" spans="1:14">
      <c r="B100" s="62"/>
      <c r="C100" s="62"/>
    </row>
    <row r="101" ht="23.25" spans="1:14">
      <c r="B101" s="63" t="s">
        <v>98</v>
      </c>
      <c r="C101" s="63"/>
    </row>
    <row r="102" ht="21" customHeight="1" spans="1:14">
      <c r="B102" s="61" t="s">
        <v>99</v>
      </c>
      <c r="C102" s="61"/>
    </row>
    <row r="103" ht="21" spans="1:14">
      <c r="B103" s="64"/>
      <c r="C103" s="64"/>
    </row>
  </sheetData>
  <mergeCells count="12">
    <mergeCell ref="B1:N1"/>
    <mergeCell ref="B2:N2"/>
    <mergeCell ref="B3:N3"/>
    <mergeCell ref="B4:N4"/>
    <mergeCell ref="B5:N5"/>
    <mergeCell ref="D7:J7"/>
    <mergeCell ref="B98:N98"/>
    <mergeCell ref="B99:N99"/>
    <mergeCell ref="B100:C100"/>
    <mergeCell ref="B103:C103"/>
    <mergeCell ref="B7:B8"/>
    <mergeCell ref="C7:C8"/>
  </mergeCells>
  <pageMargins left="0.62992125984252" right="0.31496062992126" top="0.62992125984252" bottom="0.393700787401575" header="0.669291338582677" footer="0.31496062992126"/>
  <pageSetup paperSize="5" scale="80" fitToHeight="0" orientation="landscape"/>
  <headerFooter>
    <oddFooter>&amp;CPágina &amp;P</oddFooter>
  </headerFooter>
  <rowBreaks count="2" manualBreakCount="2">
    <brk id="36" max="25" man="1"/>
    <brk id="64" max="25" man="1"/>
  </row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view="pageBreakPreview" zoomScale="60" zoomScaleNormal="100" topLeftCell="A4" workbookViewId="0">
      <selection activeCell="B39" sqref="B39"/>
    </sheetView>
  </sheetViews>
  <sheetFormatPr defaultColWidth="11.4285714285714" defaultRowHeight="15" outlineLevelCol="6"/>
  <cols>
    <col min="1" max="1" width="79.2857142857143" customWidth="1"/>
    <col min="2" max="2" width="31.5714285714286" customWidth="1"/>
    <col min="3" max="3" width="33.5714285714286" customWidth="1"/>
    <col min="4" max="4" width="28.8571428571429" customWidth="1"/>
    <col min="5" max="5" width="34.2857142857143" customWidth="1"/>
  </cols>
  <sheetData>
    <row r="1" ht="18.75" spans="1:7">
      <c r="A1" s="65" t="s">
        <v>1</v>
      </c>
      <c r="B1" s="65"/>
      <c r="C1" s="65"/>
      <c r="D1" s="65"/>
      <c r="E1" s="16"/>
      <c r="F1" s="16"/>
    </row>
    <row r="2" ht="15.75" spans="1:7">
      <c r="A2" s="66" t="s">
        <v>244</v>
      </c>
      <c r="B2" s="66"/>
      <c r="C2" s="66"/>
      <c r="D2" s="66"/>
      <c r="E2" s="67"/>
      <c r="F2" s="67"/>
    </row>
    <row r="3" spans="1:7">
      <c r="A3" s="68" t="s">
        <v>245</v>
      </c>
      <c r="B3" s="68"/>
      <c r="C3" s="68"/>
      <c r="D3" s="68"/>
    </row>
    <row r="6" customHeight="1" spans="1:7">
      <c r="A6" s="69" t="s">
        <v>4</v>
      </c>
      <c r="B6" s="70" t="s">
        <v>246</v>
      </c>
      <c r="C6" s="70" t="s">
        <v>247</v>
      </c>
      <c r="D6" s="70" t="s">
        <v>248</v>
      </c>
      <c r="G6" s="23" t="s">
        <v>249</v>
      </c>
    </row>
    <row r="7" ht="41.25" customHeight="1" spans="1:7">
      <c r="A7" s="69"/>
      <c r="B7" s="71"/>
      <c r="C7" s="71"/>
      <c r="D7" s="71"/>
      <c r="G7" s="27"/>
    </row>
    <row r="8" ht="26.25" spans="1:7">
      <c r="A8" s="72" t="s">
        <v>15</v>
      </c>
      <c r="B8" s="73">
        <f>+B9+B15+B25+B35+B45</f>
        <v>1202938070</v>
      </c>
      <c r="C8" s="74"/>
      <c r="D8" s="74"/>
      <c r="G8" s="61"/>
    </row>
    <row r="9" ht="26.25" spans="1:7">
      <c r="A9" s="75" t="s">
        <v>16</v>
      </c>
      <c r="B9" s="76">
        <f>SUM(B10:B14)</f>
        <v>506673314</v>
      </c>
      <c r="C9" s="77">
        <v>667800174</v>
      </c>
      <c r="D9" s="78">
        <f>+B9-C9</f>
        <v>-161126860</v>
      </c>
      <c r="G9" s="79">
        <f>SUM(G10:G14)</f>
        <v>470718115.75</v>
      </c>
    </row>
    <row r="10" ht="26.25" spans="1:7">
      <c r="A10" s="80" t="s">
        <v>17</v>
      </c>
      <c r="B10" s="81">
        <v>378779046</v>
      </c>
      <c r="C10" s="74"/>
      <c r="D10" s="78"/>
      <c r="G10" s="82">
        <v>342823847.75</v>
      </c>
    </row>
    <row r="11" ht="26.25" spans="1:7">
      <c r="A11" s="80" t="s">
        <v>18</v>
      </c>
      <c r="B11" s="81">
        <v>75415154</v>
      </c>
      <c r="C11" s="74"/>
      <c r="D11" s="78"/>
      <c r="G11" s="82">
        <v>75415154</v>
      </c>
    </row>
    <row r="12" ht="26.25" spans="1:7">
      <c r="A12" s="80" t="s">
        <v>19</v>
      </c>
      <c r="B12" s="81"/>
      <c r="C12" s="74"/>
      <c r="D12" s="74"/>
      <c r="G12" s="82"/>
    </row>
    <row r="13" ht="26.25" spans="1:7">
      <c r="A13" s="80" t="s">
        <v>20</v>
      </c>
      <c r="B13" s="81"/>
      <c r="C13" s="74"/>
      <c r="D13" s="74"/>
      <c r="G13" s="82"/>
    </row>
    <row r="14" ht="26.25" spans="1:7">
      <c r="A14" s="80" t="s">
        <v>21</v>
      </c>
      <c r="B14" s="81">
        <v>52479114</v>
      </c>
      <c r="C14" s="74"/>
      <c r="D14" s="78"/>
      <c r="G14" s="82">
        <v>52479114</v>
      </c>
    </row>
    <row r="15" ht="26.25" spans="1:7">
      <c r="A15" s="75" t="s">
        <v>22</v>
      </c>
      <c r="B15" s="76">
        <f>SUM(B16:B24)</f>
        <v>232445095</v>
      </c>
      <c r="C15" s="74"/>
      <c r="D15" s="74"/>
      <c r="G15" s="79">
        <f>SUM(G16:G24)</f>
        <v>42834533.91</v>
      </c>
    </row>
    <row r="16" ht="26.25" spans="1:7">
      <c r="A16" s="80" t="s">
        <v>23</v>
      </c>
      <c r="B16" s="81">
        <v>35310000</v>
      </c>
      <c r="C16" s="74"/>
      <c r="D16" s="74"/>
      <c r="G16" s="82">
        <v>2379966.27</v>
      </c>
    </row>
    <row r="17" ht="26.25" spans="1:7">
      <c r="A17" s="80" t="s">
        <v>24</v>
      </c>
      <c r="B17" s="81">
        <v>5623613</v>
      </c>
      <c r="C17" s="81">
        <v>4600000</v>
      </c>
      <c r="D17" s="74"/>
      <c r="G17" s="82"/>
    </row>
    <row r="18" ht="26.25" spans="1:7">
      <c r="A18" s="80" t="s">
        <v>25</v>
      </c>
      <c r="B18" s="81">
        <v>7900000</v>
      </c>
      <c r="C18" s="74"/>
      <c r="D18" s="74"/>
      <c r="G18" s="82">
        <v>168250</v>
      </c>
    </row>
    <row r="19" ht="26.25" spans="1:7">
      <c r="A19" s="80" t="s">
        <v>26</v>
      </c>
      <c r="B19" s="81">
        <v>1100000</v>
      </c>
      <c r="C19" s="74"/>
      <c r="D19" s="74"/>
      <c r="G19" s="82"/>
    </row>
    <row r="20" ht="26.25" spans="1:7">
      <c r="A20" s="80" t="s">
        <v>27</v>
      </c>
      <c r="B20" s="81">
        <v>12837188</v>
      </c>
      <c r="C20" s="77">
        <v>3600000</v>
      </c>
      <c r="D20" s="74"/>
      <c r="G20" s="82">
        <v>12537796.68</v>
      </c>
    </row>
    <row r="21" ht="26.25" spans="1:7">
      <c r="A21" s="80" t="s">
        <v>28</v>
      </c>
      <c r="B21" s="81">
        <v>13500000</v>
      </c>
      <c r="C21" s="74"/>
      <c r="D21" s="74"/>
      <c r="G21" s="82"/>
    </row>
    <row r="22" ht="57.75" customHeight="1" spans="1:7">
      <c r="A22" s="83" t="s">
        <v>29</v>
      </c>
      <c r="B22" s="81">
        <v>24201990</v>
      </c>
      <c r="C22" s="77">
        <f>25000000+5000000</f>
        <v>30000000</v>
      </c>
      <c r="D22" s="74"/>
      <c r="G22" s="82">
        <v>8416000</v>
      </c>
    </row>
    <row r="23" ht="64.5" customHeight="1" spans="1:7">
      <c r="A23" s="83" t="s">
        <v>30</v>
      </c>
      <c r="B23" s="81">
        <v>89772304</v>
      </c>
      <c r="C23" s="77">
        <v>6000000</v>
      </c>
      <c r="D23" s="74"/>
      <c r="G23" s="82">
        <v>5332520.96</v>
      </c>
    </row>
    <row r="24" ht="26.25" spans="1:7">
      <c r="A24" s="80" t="s">
        <v>31</v>
      </c>
      <c r="B24" s="81">
        <v>42200000</v>
      </c>
      <c r="C24" s="74"/>
      <c r="D24" s="74"/>
      <c r="G24" s="82">
        <v>14000000</v>
      </c>
    </row>
    <row r="25" ht="26.25" spans="1:7">
      <c r="A25" s="75" t="s">
        <v>32</v>
      </c>
      <c r="B25" s="76">
        <f>SUM(B26:B34)</f>
        <v>401710000</v>
      </c>
      <c r="C25" s="74"/>
      <c r="D25" s="74"/>
      <c r="G25" s="79">
        <f>SUM(G26:G34)</f>
        <v>204726880</v>
      </c>
    </row>
    <row r="26" ht="26.25" spans="1:7">
      <c r="A26" s="80" t="s">
        <v>33</v>
      </c>
      <c r="B26" s="81">
        <v>3600000</v>
      </c>
      <c r="C26" s="74"/>
      <c r="D26" s="74"/>
      <c r="G26" s="61"/>
    </row>
    <row r="27" ht="26.25" spans="1:7">
      <c r="A27" s="80" t="s">
        <v>34</v>
      </c>
      <c r="B27" s="81">
        <v>10600000</v>
      </c>
      <c r="C27" s="77">
        <v>10000000</v>
      </c>
      <c r="D27" s="74"/>
      <c r="G27" s="84">
        <v>4000000</v>
      </c>
    </row>
    <row r="28" ht="26.25" spans="1:7">
      <c r="A28" s="80" t="s">
        <v>35</v>
      </c>
      <c r="B28" s="81">
        <f>330450000</f>
        <v>330450000</v>
      </c>
      <c r="C28" s="77">
        <v>720000000</v>
      </c>
      <c r="D28" s="78">
        <f>+B28-C28</f>
        <v>-389550000</v>
      </c>
      <c r="G28" s="84">
        <v>200000000</v>
      </c>
    </row>
    <row r="29" ht="26.25" spans="1:7">
      <c r="A29" s="80" t="s">
        <v>36</v>
      </c>
      <c r="B29" s="81">
        <v>2000000</v>
      </c>
      <c r="C29" s="74"/>
      <c r="D29" s="74"/>
      <c r="E29">
        <f>128000000+389550000</f>
        <v>517550000</v>
      </c>
      <c r="G29" s="61"/>
    </row>
    <row r="30" ht="26.25" spans="1:7">
      <c r="A30" s="80" t="s">
        <v>37</v>
      </c>
      <c r="B30" s="81">
        <v>2815000</v>
      </c>
      <c r="C30" s="74"/>
      <c r="D30" s="74"/>
      <c r="G30" s="61"/>
    </row>
    <row r="31" ht="26.25" spans="1:7">
      <c r="A31" s="80" t="s">
        <v>38</v>
      </c>
      <c r="B31" s="81">
        <v>620000</v>
      </c>
      <c r="C31" s="74"/>
      <c r="D31" s="74"/>
      <c r="G31" s="61"/>
    </row>
    <row r="32" ht="40.5" customHeight="1" spans="1:7">
      <c r="A32" s="83" t="s">
        <v>39</v>
      </c>
      <c r="B32" s="81">
        <v>16575000</v>
      </c>
      <c r="C32" s="74"/>
      <c r="D32" s="74"/>
      <c r="G32" s="61"/>
    </row>
    <row r="33" ht="51.75" customHeight="1" spans="1:7">
      <c r="A33" s="83" t="s">
        <v>40</v>
      </c>
      <c r="B33" s="81"/>
      <c r="C33" s="74"/>
      <c r="D33" s="74"/>
      <c r="G33" s="61"/>
    </row>
    <row r="34" ht="26.25" spans="1:7">
      <c r="A34" s="80" t="s">
        <v>41</v>
      </c>
      <c r="B34" s="81">
        <v>35050000</v>
      </c>
      <c r="C34" s="77">
        <v>17500000</v>
      </c>
      <c r="D34" s="74"/>
      <c r="G34" s="82">
        <v>726880</v>
      </c>
    </row>
    <row r="35" ht="24.95" customHeight="1" spans="1:7">
      <c r="A35" s="75" t="s">
        <v>57</v>
      </c>
      <c r="B35" s="76">
        <f>SUM(B36:B44)</f>
        <v>52109661</v>
      </c>
      <c r="C35" s="74"/>
      <c r="D35" s="74"/>
      <c r="G35" s="79">
        <f>SUM(G36:G44)</f>
        <v>12392750</v>
      </c>
    </row>
    <row r="36" ht="24.95" customHeight="1" spans="1:7">
      <c r="A36" s="80" t="s">
        <v>58</v>
      </c>
      <c r="B36" s="81">
        <v>24200000</v>
      </c>
      <c r="C36" s="77">
        <f>82000000+10500000</f>
        <v>92500000</v>
      </c>
      <c r="D36" s="78">
        <f>+B36-C36</f>
        <v>-68300000</v>
      </c>
      <c r="G36" s="82">
        <v>6976750</v>
      </c>
    </row>
    <row r="37" ht="60" customHeight="1" spans="1:7">
      <c r="A37" s="83" t="s">
        <v>59</v>
      </c>
      <c r="B37" s="81">
        <v>1100000</v>
      </c>
      <c r="C37" s="81">
        <v>23700000</v>
      </c>
      <c r="D37" s="78">
        <f>+B37-C37</f>
        <v>-22600000</v>
      </c>
      <c r="G37" s="61"/>
    </row>
    <row r="38" ht="33" customHeight="1" spans="1:7">
      <c r="A38" s="83" t="s">
        <v>60</v>
      </c>
      <c r="B38" s="81">
        <v>250000</v>
      </c>
      <c r="C38" s="74"/>
      <c r="D38" s="74"/>
      <c r="G38" s="61"/>
    </row>
    <row r="39" ht="32.25" customHeight="1" spans="1:7">
      <c r="A39" s="83" t="s">
        <v>61</v>
      </c>
      <c r="B39" s="81">
        <v>11850000</v>
      </c>
      <c r="C39" s="77">
        <v>30000000</v>
      </c>
      <c r="D39" s="78">
        <f>+B39-C39</f>
        <v>-18150000</v>
      </c>
      <c r="G39" s="61"/>
    </row>
    <row r="40" ht="24.95" customHeight="1" spans="1:7">
      <c r="A40" s="80" t="s">
        <v>62</v>
      </c>
      <c r="B40" s="81">
        <v>8600000</v>
      </c>
      <c r="C40" s="77">
        <v>10000000</v>
      </c>
      <c r="D40" s="78">
        <f>+B40-C40</f>
        <v>-1400000</v>
      </c>
      <c r="G40" s="82">
        <v>1416000</v>
      </c>
    </row>
    <row r="41" ht="24.95" customHeight="1" spans="1:7">
      <c r="A41" s="80" t="s">
        <v>63</v>
      </c>
      <c r="B41" s="81">
        <v>3000000</v>
      </c>
      <c r="C41" s="74"/>
      <c r="D41" s="74"/>
      <c r="G41" s="61"/>
    </row>
    <row r="42" ht="24.95" customHeight="1" spans="1:7">
      <c r="A42" s="80" t="s">
        <v>64</v>
      </c>
      <c r="B42" s="81"/>
      <c r="C42" s="74"/>
      <c r="D42" s="74"/>
      <c r="G42" s="61"/>
    </row>
    <row r="43" ht="24.95" customHeight="1" spans="1:7">
      <c r="A43" s="80" t="s">
        <v>65</v>
      </c>
      <c r="B43" s="81">
        <v>1109661</v>
      </c>
      <c r="C43" s="77">
        <v>5000000</v>
      </c>
      <c r="D43" s="74"/>
      <c r="G43" s="84">
        <v>4000000</v>
      </c>
    </row>
    <row r="44" ht="45" customHeight="1" spans="1:7">
      <c r="A44" s="83" t="s">
        <v>66</v>
      </c>
      <c r="B44" s="81">
        <v>2000000</v>
      </c>
      <c r="C44" s="74"/>
      <c r="D44" s="74"/>
      <c r="G44" s="61"/>
    </row>
    <row r="45" ht="24.95" customHeight="1" spans="1:7">
      <c r="A45" s="75" t="s">
        <v>67</v>
      </c>
      <c r="B45" s="76">
        <f>SUM(B46:B48)</f>
        <v>10000000</v>
      </c>
      <c r="C45" s="74"/>
      <c r="D45" s="74"/>
      <c r="G45" s="79">
        <f>SUM(G46:G48)</f>
        <v>12000000</v>
      </c>
    </row>
    <row r="46" ht="24.95" customHeight="1" spans="1:7">
      <c r="A46" s="80" t="s">
        <v>68</v>
      </c>
      <c r="B46" s="81">
        <v>10000000</v>
      </c>
      <c r="C46" s="77">
        <f>60000000+5000000</f>
        <v>65000000</v>
      </c>
      <c r="D46" s="78">
        <f>+B46-C46</f>
        <v>-55000000</v>
      </c>
      <c r="G46" s="82">
        <v>12000000</v>
      </c>
    </row>
    <row r="47" ht="24.95" customHeight="1" spans="1:7">
      <c r="A47" s="80" t="s">
        <v>69</v>
      </c>
      <c r="B47" s="81"/>
      <c r="C47" s="74"/>
      <c r="D47" s="74"/>
      <c r="G47" s="61"/>
    </row>
    <row r="48" ht="24.95" customHeight="1" spans="1:7">
      <c r="A48" s="80" t="s">
        <v>70</v>
      </c>
      <c r="B48" s="81"/>
      <c r="C48" s="74"/>
      <c r="D48" s="74"/>
      <c r="G48" s="61"/>
    </row>
    <row r="49" ht="54" customHeight="1" spans="1:7">
      <c r="A49" s="83" t="s">
        <v>71</v>
      </c>
      <c r="B49" s="81"/>
      <c r="C49" s="74"/>
      <c r="D49" s="74"/>
      <c r="G49" s="61"/>
    </row>
    <row r="50" ht="24.95" customHeight="1" spans="1:7">
      <c r="A50" s="85" t="s">
        <v>88</v>
      </c>
      <c r="B50" s="86">
        <f>+B9+B15+B25+B35+B45</f>
        <v>1202938070</v>
      </c>
      <c r="C50" s="86">
        <f>SUM(C8:C49)</f>
        <v>1685700174</v>
      </c>
      <c r="D50" s="86">
        <f>SUM(D8:D49)</f>
        <v>-716126860</v>
      </c>
      <c r="G50" s="87">
        <f>+G9+G15+G25+G35+G45</f>
        <v>742672279.66</v>
      </c>
    </row>
    <row r="52" ht="17.25" spans="1:7">
      <c r="A52" s="33" t="s">
        <v>250</v>
      </c>
    </row>
    <row r="53" ht="23.25" spans="1:7">
      <c r="A53" s="37" t="s">
        <v>251</v>
      </c>
      <c r="C53" s="84">
        <v>66800000</v>
      </c>
    </row>
    <row r="54" ht="23.25" spans="1:7">
      <c r="A54" s="37" t="s">
        <v>252</v>
      </c>
      <c r="C54" s="84">
        <v>128750000</v>
      </c>
    </row>
    <row r="55" ht="23.25" spans="1:7">
      <c r="A55" s="37" t="s">
        <v>253</v>
      </c>
      <c r="C55" s="84">
        <v>12000000</v>
      </c>
    </row>
    <row r="56" ht="23.25" spans="1:7">
      <c r="A56" s="37" t="s">
        <v>254</v>
      </c>
      <c r="C56" s="84">
        <v>7000000</v>
      </c>
    </row>
    <row r="57" ht="23.25" spans="1:7">
      <c r="A57" s="37" t="s">
        <v>255</v>
      </c>
      <c r="C57" s="84">
        <v>4000000</v>
      </c>
    </row>
    <row r="58" ht="23.25" spans="1:7">
      <c r="A58" s="37" t="s">
        <v>256</v>
      </c>
      <c r="C58" s="84">
        <v>10800000</v>
      </c>
    </row>
    <row r="59" ht="23.25" spans="1:7">
      <c r="A59" s="37" t="s">
        <v>257</v>
      </c>
      <c r="C59" s="84">
        <v>4440000</v>
      </c>
    </row>
    <row r="60" ht="23.25" spans="1:7">
      <c r="A60" s="37" t="s">
        <v>258</v>
      </c>
      <c r="C60" s="84">
        <v>1024000</v>
      </c>
    </row>
    <row r="61" ht="23.25" spans="1:7">
      <c r="A61" s="37" t="s">
        <v>259</v>
      </c>
      <c r="C61" s="84">
        <v>4360000</v>
      </c>
    </row>
    <row r="62" ht="23.25" spans="1:7">
      <c r="C62" s="88">
        <f>SUM(C53:C61)</f>
        <v>239174000</v>
      </c>
    </row>
  </sheetData>
  <mergeCells count="8">
    <mergeCell ref="A1:D1"/>
    <mergeCell ref="A2:D2"/>
    <mergeCell ref="A3:D3"/>
    <mergeCell ref="A6:A7"/>
    <mergeCell ref="B6:B7"/>
    <mergeCell ref="C6:C7"/>
    <mergeCell ref="D6:D7"/>
    <mergeCell ref="G6:G7"/>
  </mergeCells>
  <pageMargins left="2.12" right="0.7" top="0.75" bottom="0.75" header="0.3" footer="0.3"/>
  <pageSetup paperSize="9" scale="57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3"/>
  <sheetViews>
    <sheetView view="pageBreakPreview" zoomScale="60" zoomScaleNormal="100" topLeftCell="B76" workbookViewId="0">
      <selection activeCell="B4" sqref="B4:Q4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4" customWidth="1"/>
    <col min="5" max="5" width="25.8571428571429" customWidth="1"/>
    <col min="6" max="6" width="21.5714285714286" customWidth="1"/>
    <col min="7" max="16" width="14.5714285714286" customWidth="1"/>
    <col min="17" max="17" width="23.1428571428571" customWidth="1"/>
  </cols>
  <sheetData>
    <row r="1" ht="28.5" customHeight="1" spans="2:1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ht="21" customHeight="1" spans="2:1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ht="18.75" spans="2:18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ht="15.75" customHeight="1" spans="2:18">
      <c r="B4" s="19" t="s">
        <v>112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3"/>
    </row>
    <row r="5" ht="15.75" customHeight="1" spans="2:18">
      <c r="B5" s="21" t="s">
        <v>3</v>
      </c>
      <c r="C5" s="21"/>
      <c r="D5" s="21"/>
    </row>
    <row r="7" customHeight="1" spans="2:1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30" customHeight="1" spans="2:18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8">
      <c r="B9" s="30" t="s">
        <v>15</v>
      </c>
      <c r="C9" s="31">
        <f>+C10+C16+C26+C36+C44+C52+C62+C67+C70</f>
        <v>1024795636</v>
      </c>
      <c r="D9" s="32">
        <f>+D10+D16+D26+D36+D44+D52+D62+D67+D70</f>
        <v>0</v>
      </c>
      <c r="E9" s="32">
        <f t="shared" ref="E9:P9" si="0">+E10+E16+E26+E36+E44+E52+E62+E67+E70</f>
        <v>34516386.94</v>
      </c>
      <c r="F9" s="32">
        <f t="shared" si="0"/>
        <v>78356760.78</v>
      </c>
      <c r="G9" s="32">
        <f t="shared" si="0"/>
        <v>0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>+E9+F9+G9+H9+I9+J9+K9+L9+M9+N9+O9+P9</f>
        <v>112873147.72</v>
      </c>
    </row>
    <row r="10" s="10" customFormat="1" ht="27" customHeight="1" spans="2:18">
      <c r="B10" s="33" t="s">
        <v>16</v>
      </c>
      <c r="C10" s="34">
        <f>SUM(C11:C15)</f>
        <v>493015272</v>
      </c>
      <c r="D10" s="35">
        <f>SUM(D11:D15)</f>
        <v>0</v>
      </c>
      <c r="E10" s="35">
        <f t="shared" ref="E10:N10" si="1">SUM(E11:E15)</f>
        <v>31761117.39</v>
      </c>
      <c r="F10" s="35">
        <f t="shared" si="1"/>
        <v>31693384.16</v>
      </c>
      <c r="G10" s="35">
        <f t="shared" si="1"/>
        <v>0</v>
      </c>
      <c r="H10" s="35">
        <f t="shared" si="1"/>
        <v>0</v>
      </c>
      <c r="I10" s="35">
        <f t="shared" si="1"/>
        <v>0</v>
      </c>
      <c r="J10" s="35">
        <f t="shared" si="1"/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6">
        <f>+O11+O12+O13+O14+O15</f>
        <v>0</v>
      </c>
      <c r="P10" s="36">
        <f>+P11+P12+P13+P14+P15</f>
        <v>0</v>
      </c>
      <c r="Q10" s="35">
        <f>SUM(Q11:Q15)</f>
        <v>63454501.55</v>
      </c>
    </row>
    <row r="11" s="10" customFormat="1" ht="27" customHeight="1" spans="2:18">
      <c r="B11" s="37" t="s">
        <v>17</v>
      </c>
      <c r="C11" s="38">
        <v>375747353</v>
      </c>
      <c r="D11" s="39">
        <v>2160000</v>
      </c>
      <c r="E11" s="40">
        <v>26334286.2</v>
      </c>
      <c r="F11" s="40">
        <v>26255586.2</v>
      </c>
      <c r="G11" s="40"/>
      <c r="H11" s="40"/>
      <c r="I11" s="40"/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39">
        <v>0</v>
      </c>
      <c r="P11" s="39">
        <v>0</v>
      </c>
      <c r="Q11" s="41">
        <f>+E11+F11+G11+H11+I11+J11+K11+L11+M11+N11+O11+P11</f>
        <v>52589872.4</v>
      </c>
    </row>
    <row r="12" s="10" customFormat="1" ht="27" customHeight="1" spans="2:18">
      <c r="B12" s="37" t="s">
        <v>18</v>
      </c>
      <c r="C12" s="38">
        <v>67781665</v>
      </c>
      <c r="D12" s="39"/>
      <c r="E12" s="40">
        <v>1437000</v>
      </c>
      <c r="F12" s="40">
        <v>1460000</v>
      </c>
      <c r="G12" s="40"/>
      <c r="H12" s="40">
        <v>0</v>
      </c>
      <c r="I12" s="40"/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39">
        <v>0</v>
      </c>
      <c r="P12" s="39">
        <v>0</v>
      </c>
      <c r="Q12" s="41">
        <f>+E12+F12+G12+H12+I12+J12+K12+L12+M12+N12+O12+P12</f>
        <v>2897000</v>
      </c>
    </row>
    <row r="13" s="10" customFormat="1" ht="27" customHeight="1" spans="2:18">
      <c r="B13" s="37" t="s">
        <v>19</v>
      </c>
      <c r="C13" s="38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8">
      <c r="B14" s="37" t="s">
        <v>20</v>
      </c>
      <c r="C14" s="38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8">
      <c r="B15" s="37" t="s">
        <v>21</v>
      </c>
      <c r="C15" s="38">
        <v>49486254</v>
      </c>
      <c r="D15" s="39">
        <v>-2160000</v>
      </c>
      <c r="E15" s="40">
        <v>3989831.19</v>
      </c>
      <c r="F15" s="40">
        <v>3977797.96</v>
      </c>
      <c r="G15" s="40">
        <v>0</v>
      </c>
      <c r="H15" s="40">
        <v>0</v>
      </c>
      <c r="I15" s="40"/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39">
        <v>0</v>
      </c>
      <c r="P15" s="39">
        <v>0</v>
      </c>
      <c r="Q15" s="41">
        <f>+E15+F15+G15+H15+I15+J15+K15+L15+M15+N15+O15+P15</f>
        <v>7967629.15</v>
      </c>
    </row>
    <row r="16" s="10" customFormat="1" ht="27" customHeight="1" spans="2:18">
      <c r="B16" s="33" t="s">
        <v>22</v>
      </c>
      <c r="C16" s="34">
        <f>SUM(C17:C25)</f>
        <v>180335892</v>
      </c>
      <c r="D16" s="35">
        <f>SUM(D17:D25)</f>
        <v>-10781512</v>
      </c>
      <c r="E16" s="35">
        <f t="shared" ref="E16:P16" si="2">SUM(E17:E25)</f>
        <v>2755269.55</v>
      </c>
      <c r="F16" s="35">
        <f t="shared" si="2"/>
        <v>10551527.29</v>
      </c>
      <c r="G16" s="35">
        <f t="shared" si="2"/>
        <v>0</v>
      </c>
      <c r="H16" s="35">
        <f t="shared" si="2"/>
        <v>0</v>
      </c>
      <c r="I16" s="35">
        <f t="shared" si="2"/>
        <v>0</v>
      </c>
      <c r="J16" s="35">
        <f t="shared" si="2"/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6">
        <f>+Q17+Q18+Q19+Q20+Q21+Q22+Q23+Q24+Q25</f>
        <v>13306796.84</v>
      </c>
    </row>
    <row r="17" s="10" customFormat="1" ht="27" customHeight="1" spans="2:17">
      <c r="B17" s="37" t="s">
        <v>23</v>
      </c>
      <c r="C17" s="38">
        <v>33780000</v>
      </c>
      <c r="D17" s="39">
        <v>0</v>
      </c>
      <c r="E17" s="40">
        <v>1991078.74</v>
      </c>
      <c r="F17" s="40">
        <v>2145419.21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39">
        <v>0</v>
      </c>
      <c r="P17" s="39">
        <v>0</v>
      </c>
      <c r="Q17" s="41">
        <f t="shared" ref="Q17:Q83" si="3">+E17+F17+G17+H17+I17+J17+K17+L17+M17+N17+O17+P17</f>
        <v>4136497.95</v>
      </c>
    </row>
    <row r="18" s="10" customFormat="1" ht="27" customHeight="1" spans="2:17">
      <c r="B18" s="37" t="s">
        <v>24</v>
      </c>
      <c r="C18" s="38">
        <v>5800000</v>
      </c>
      <c r="D18" s="39">
        <v>0</v>
      </c>
      <c r="E18" s="40">
        <v>0</v>
      </c>
      <c r="F18" s="40">
        <v>488754.68</v>
      </c>
      <c r="G18" s="40">
        <v>0</v>
      </c>
      <c r="H18" s="40"/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39"/>
      <c r="P18" s="39">
        <v>0</v>
      </c>
      <c r="Q18" s="41">
        <f t="shared" si="3"/>
        <v>488754.68</v>
      </c>
    </row>
    <row r="19" s="10" customFormat="1" ht="27" customHeight="1" spans="2:17">
      <c r="B19" s="37" t="s">
        <v>25</v>
      </c>
      <c r="C19" s="38">
        <v>31000000</v>
      </c>
      <c r="D19" s="39">
        <v>-10037512</v>
      </c>
      <c r="E19" s="40">
        <v>0</v>
      </c>
      <c r="F19" s="40">
        <v>273230</v>
      </c>
      <c r="G19" s="40"/>
      <c r="H19" s="40"/>
      <c r="I19" s="40"/>
      <c r="J19" s="40"/>
      <c r="K19" s="40">
        <v>0</v>
      </c>
      <c r="L19" s="40"/>
      <c r="M19" s="40"/>
      <c r="N19" s="40"/>
      <c r="O19" s="39"/>
      <c r="P19" s="39"/>
      <c r="Q19" s="41">
        <f t="shared" si="3"/>
        <v>273230</v>
      </c>
    </row>
    <row r="20" s="10" customFormat="1" ht="27" customHeight="1" spans="2:17">
      <c r="B20" s="37" t="s">
        <v>26</v>
      </c>
      <c r="C20" s="38">
        <v>2600000</v>
      </c>
      <c r="D20" s="39"/>
      <c r="E20" s="40">
        <v>0</v>
      </c>
      <c r="F20" s="40">
        <v>28000</v>
      </c>
      <c r="G20" s="40"/>
      <c r="H20" s="40"/>
      <c r="I20" s="40"/>
      <c r="J20" s="40"/>
      <c r="K20" s="40">
        <v>0</v>
      </c>
      <c r="L20" s="40"/>
      <c r="M20" s="40"/>
      <c r="N20" s="40"/>
      <c r="O20" s="39"/>
      <c r="P20" s="39"/>
      <c r="Q20" s="41">
        <f t="shared" si="3"/>
        <v>28000</v>
      </c>
    </row>
    <row r="21" s="10" customFormat="1" ht="27" customHeight="1" spans="2:17">
      <c r="B21" s="37" t="s">
        <v>27</v>
      </c>
      <c r="C21" s="38">
        <v>13025891</v>
      </c>
      <c r="D21" s="39">
        <v>2206000</v>
      </c>
      <c r="E21" s="40">
        <v>565259.18</v>
      </c>
      <c r="F21" s="40">
        <v>1578144.83</v>
      </c>
      <c r="G21" s="40"/>
      <c r="H21" s="40"/>
      <c r="I21" s="40"/>
      <c r="J21" s="40"/>
      <c r="K21" s="40"/>
      <c r="L21" s="40"/>
      <c r="M21" s="40"/>
      <c r="N21" s="40"/>
      <c r="O21" s="39"/>
      <c r="P21" s="39"/>
      <c r="Q21" s="41">
        <f t="shared" si="3"/>
        <v>2143404.01</v>
      </c>
    </row>
    <row r="22" s="10" customFormat="1" ht="27" customHeight="1" spans="2:17">
      <c r="B22" s="37" t="s">
        <v>28</v>
      </c>
      <c r="C22" s="38">
        <v>12600000</v>
      </c>
      <c r="D22" s="39"/>
      <c r="E22" s="40"/>
      <c r="F22" s="40">
        <v>1369799.12</v>
      </c>
      <c r="G22" s="40"/>
      <c r="H22" s="40"/>
      <c r="I22" s="40"/>
      <c r="J22" s="40"/>
      <c r="K22" s="40"/>
      <c r="L22" s="40"/>
      <c r="M22" s="40"/>
      <c r="N22" s="40"/>
      <c r="O22" s="39"/>
      <c r="P22" s="39"/>
      <c r="Q22" s="41">
        <f t="shared" si="3"/>
        <v>1369799.12</v>
      </c>
    </row>
    <row r="23" s="10" customFormat="1" ht="45.75" customHeight="1" spans="2:17">
      <c r="B23" s="42" t="s">
        <v>29</v>
      </c>
      <c r="C23" s="38">
        <v>29590000</v>
      </c>
      <c r="D23" s="39"/>
      <c r="E23" s="40">
        <v>0</v>
      </c>
      <c r="F23" s="40">
        <v>843209.61</v>
      </c>
      <c r="G23" s="40"/>
      <c r="H23" s="40"/>
      <c r="I23" s="40"/>
      <c r="J23" s="40"/>
      <c r="K23" s="40"/>
      <c r="L23" s="40"/>
      <c r="M23" s="40"/>
      <c r="N23" s="40"/>
      <c r="O23" s="39"/>
      <c r="P23" s="39"/>
      <c r="Q23" s="41">
        <f t="shared" si="3"/>
        <v>843209.61</v>
      </c>
    </row>
    <row r="24" s="10" customFormat="1" ht="43.5" customHeight="1" spans="2:17">
      <c r="B24" s="42" t="s">
        <v>30</v>
      </c>
      <c r="C24" s="38">
        <v>30340000</v>
      </c>
      <c r="D24" s="39">
        <v>-4450000</v>
      </c>
      <c r="E24" s="40">
        <v>198931.63</v>
      </c>
      <c r="F24" s="40">
        <v>1382086.64</v>
      </c>
      <c r="G24" s="40"/>
      <c r="H24" s="40"/>
      <c r="I24" s="40"/>
      <c r="J24" s="40"/>
      <c r="K24" s="40"/>
      <c r="L24" s="40"/>
      <c r="M24" s="40"/>
      <c r="N24" s="40"/>
      <c r="O24" s="39"/>
      <c r="P24" s="39"/>
      <c r="Q24" s="41">
        <f t="shared" si="3"/>
        <v>1581018.27</v>
      </c>
    </row>
    <row r="25" s="10" customFormat="1" ht="27" customHeight="1" spans="2:17">
      <c r="B25" s="37" t="s">
        <v>31</v>
      </c>
      <c r="C25" s="38">
        <v>21600001</v>
      </c>
      <c r="D25" s="39">
        <v>1500000</v>
      </c>
      <c r="E25" s="40"/>
      <c r="F25" s="40">
        <v>2442883.2</v>
      </c>
      <c r="G25" s="40"/>
      <c r="H25" s="40"/>
      <c r="I25" s="40">
        <v>0</v>
      </c>
      <c r="J25" s="40"/>
      <c r="K25" s="40">
        <v>0</v>
      </c>
      <c r="L25" s="40">
        <v>0</v>
      </c>
      <c r="M25" s="40"/>
      <c r="N25" s="40">
        <v>0</v>
      </c>
      <c r="O25" s="43"/>
      <c r="P25" s="39"/>
      <c r="Q25" s="41">
        <f t="shared" si="3"/>
        <v>2442883.2</v>
      </c>
    </row>
    <row r="26" s="10" customFormat="1" ht="27" customHeight="1" spans="2:17">
      <c r="B26" s="33" t="s">
        <v>32</v>
      </c>
      <c r="C26" s="34">
        <f>SUM(C27:C35)</f>
        <v>309474472</v>
      </c>
      <c r="D26" s="35">
        <f>SUM(D27:D35)</f>
        <v>-13320000</v>
      </c>
      <c r="E26" s="35">
        <f t="shared" ref="E26:P26" si="4">SUM(E27:E35)</f>
        <v>0</v>
      </c>
      <c r="F26" s="35">
        <f t="shared" si="4"/>
        <v>34303911.8</v>
      </c>
      <c r="G26" s="35">
        <f t="shared" si="4"/>
        <v>0</v>
      </c>
      <c r="H26" s="35">
        <f t="shared" si="4"/>
        <v>0</v>
      </c>
      <c r="I26" s="35">
        <f t="shared" si="4"/>
        <v>0</v>
      </c>
      <c r="J26" s="35">
        <f t="shared" si="4"/>
        <v>0</v>
      </c>
      <c r="K26" s="35">
        <f t="shared" si="4"/>
        <v>0</v>
      </c>
      <c r="L26" s="35">
        <f t="shared" si="4"/>
        <v>0</v>
      </c>
      <c r="M26" s="35">
        <f t="shared" si="4"/>
        <v>0</v>
      </c>
      <c r="N26" s="35">
        <f t="shared" si="4"/>
        <v>0</v>
      </c>
      <c r="O26" s="35">
        <f t="shared" si="4"/>
        <v>0</v>
      </c>
      <c r="P26" s="35">
        <f t="shared" si="4"/>
        <v>0</v>
      </c>
      <c r="Q26" s="36">
        <f>+Q27+Q28+Q29+Q30+Q31+Q33+Q32+Q34+Q35+Q36+Q37</f>
        <v>34303911.8</v>
      </c>
    </row>
    <row r="27" s="10" customFormat="1" ht="27" customHeight="1" spans="2:17">
      <c r="B27" s="37" t="s">
        <v>33</v>
      </c>
      <c r="C27" s="38">
        <v>7700000</v>
      </c>
      <c r="D27" s="39">
        <v>-3980000</v>
      </c>
      <c r="E27" s="40">
        <v>0</v>
      </c>
      <c r="F27" s="40">
        <v>33830</v>
      </c>
      <c r="G27" s="40">
        <v>0</v>
      </c>
      <c r="H27" s="40"/>
      <c r="I27" s="40"/>
      <c r="J27" s="40">
        <v>0</v>
      </c>
      <c r="K27" s="40"/>
      <c r="L27" s="40">
        <v>0</v>
      </c>
      <c r="M27" s="40"/>
      <c r="N27" s="40"/>
      <c r="O27" s="40"/>
      <c r="P27" s="39"/>
      <c r="Q27" s="41">
        <f t="shared" si="3"/>
        <v>33830</v>
      </c>
    </row>
    <row r="28" s="10" customFormat="1" ht="27" customHeight="1" spans="2:17">
      <c r="B28" s="37" t="s">
        <v>34</v>
      </c>
      <c r="C28" s="38">
        <v>10700000</v>
      </c>
      <c r="D28" s="39">
        <v>50000</v>
      </c>
      <c r="E28" s="40">
        <v>0</v>
      </c>
      <c r="F28" s="40">
        <v>156940</v>
      </c>
      <c r="G28" s="40"/>
      <c r="H28" s="40"/>
      <c r="I28" s="40"/>
      <c r="J28" s="40">
        <v>0</v>
      </c>
      <c r="K28" s="40">
        <v>0</v>
      </c>
      <c r="L28" s="40">
        <v>0</v>
      </c>
      <c r="M28" s="40"/>
      <c r="N28" s="40">
        <v>0</v>
      </c>
      <c r="O28" s="40"/>
      <c r="P28" s="39"/>
      <c r="Q28" s="41">
        <f t="shared" si="3"/>
        <v>156940</v>
      </c>
    </row>
    <row r="29" s="10" customFormat="1" ht="27" customHeight="1" spans="2:17">
      <c r="B29" s="37" t="s">
        <v>35</v>
      </c>
      <c r="C29" s="38">
        <v>228422500</v>
      </c>
      <c r="D29" s="39">
        <v>-10000000</v>
      </c>
      <c r="E29" s="40">
        <v>0</v>
      </c>
      <c r="F29" s="40">
        <v>33400000</v>
      </c>
      <c r="G29" s="40"/>
      <c r="H29" s="40"/>
      <c r="I29" s="40"/>
      <c r="J29" s="40">
        <v>0</v>
      </c>
      <c r="K29" s="40">
        <v>0</v>
      </c>
      <c r="L29" s="40">
        <v>0</v>
      </c>
      <c r="M29" s="40"/>
      <c r="N29" s="40"/>
      <c r="O29" s="40"/>
      <c r="P29" s="39"/>
      <c r="Q29" s="41">
        <f t="shared" si="3"/>
        <v>33400000</v>
      </c>
    </row>
    <row r="30" s="10" customFormat="1" ht="27" customHeight="1" spans="2:17">
      <c r="B30" s="37" t="s">
        <v>36</v>
      </c>
      <c r="C30" s="38">
        <v>3499999</v>
      </c>
      <c r="D30" s="39"/>
      <c r="E30" s="40">
        <v>0</v>
      </c>
      <c r="F30" s="40"/>
      <c r="G30" s="40"/>
      <c r="H30" s="40"/>
      <c r="I30" s="40"/>
      <c r="J30" s="40">
        <v>0</v>
      </c>
      <c r="K30" s="40">
        <v>0</v>
      </c>
      <c r="L30" s="40">
        <v>0</v>
      </c>
      <c r="M30" s="40"/>
      <c r="N30" s="40"/>
      <c r="O30" s="40"/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38">
        <v>3010000</v>
      </c>
      <c r="D31" s="39">
        <v>-1300000</v>
      </c>
      <c r="E31" s="40">
        <v>0</v>
      </c>
      <c r="F31" s="40">
        <v>15750</v>
      </c>
      <c r="G31" s="40"/>
      <c r="H31" s="40"/>
      <c r="I31" s="40"/>
      <c r="J31" s="40"/>
      <c r="K31" s="40">
        <v>0</v>
      </c>
      <c r="L31" s="40">
        <v>0</v>
      </c>
      <c r="M31" s="40"/>
      <c r="N31" s="40"/>
      <c r="O31" s="40"/>
      <c r="P31" s="39"/>
      <c r="Q31" s="41">
        <f t="shared" si="3"/>
        <v>15750</v>
      </c>
    </row>
    <row r="32" s="10" customFormat="1" ht="42" customHeight="1" spans="2:17">
      <c r="B32" s="37" t="s">
        <v>38</v>
      </c>
      <c r="C32" s="38">
        <v>290000</v>
      </c>
      <c r="D32" s="39">
        <v>410000</v>
      </c>
      <c r="E32" s="40">
        <v>0</v>
      </c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0"/>
      <c r="O32" s="40"/>
      <c r="P32" s="39"/>
      <c r="Q32" s="41">
        <f t="shared" si="3"/>
        <v>0</v>
      </c>
    </row>
    <row r="33" s="10" customFormat="1" ht="39" customHeight="1" spans="2:17">
      <c r="B33" s="42" t="s">
        <v>39</v>
      </c>
      <c r="C33" s="38">
        <v>15595000</v>
      </c>
      <c r="D33" s="39"/>
      <c r="E33" s="40">
        <v>0</v>
      </c>
      <c r="F33" s="40"/>
      <c r="G33" s="40"/>
      <c r="H33" s="40"/>
      <c r="I33" s="40"/>
      <c r="J33" s="40"/>
      <c r="K33" s="40">
        <v>0</v>
      </c>
      <c r="L33" s="40">
        <v>0</v>
      </c>
      <c r="M33" s="40"/>
      <c r="N33" s="40">
        <v>0</v>
      </c>
      <c r="O33" s="40"/>
      <c r="P33" s="39"/>
      <c r="Q33" s="41">
        <f t="shared" si="3"/>
        <v>0</v>
      </c>
    </row>
    <row r="34" s="10" customFormat="1" ht="39.75" customHeight="1" spans="2:17">
      <c r="B34" s="42" t="s">
        <v>40</v>
      </c>
      <c r="C34" s="38"/>
      <c r="D34" s="39"/>
      <c r="E34" s="40"/>
      <c r="F34" s="40"/>
      <c r="G34" s="40"/>
      <c r="H34" s="40"/>
      <c r="I34" s="40"/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38">
        <v>40256973</v>
      </c>
      <c r="D35" s="39">
        <v>1500000</v>
      </c>
      <c r="E35" s="40">
        <v>0</v>
      </c>
      <c r="F35" s="40">
        <v>697391.8</v>
      </c>
      <c r="G35" s="40"/>
      <c r="H35" s="40"/>
      <c r="I35" s="40"/>
      <c r="J35" s="40"/>
      <c r="K35" s="40"/>
      <c r="L35" s="40"/>
      <c r="M35" s="40"/>
      <c r="N35" s="40"/>
      <c r="O35" s="40"/>
      <c r="P35" s="39"/>
      <c r="Q35" s="41">
        <f t="shared" si="3"/>
        <v>697391.8</v>
      </c>
    </row>
    <row r="36" s="10" customFormat="1" ht="27" customHeight="1" spans="2:17">
      <c r="B36" s="33" t="s">
        <v>42</v>
      </c>
      <c r="C36" s="34">
        <f>SUM(C37:C42)</f>
        <v>3000000</v>
      </c>
      <c r="D36" s="35">
        <f>SUM(D37:D42)</f>
        <v>0</v>
      </c>
      <c r="E36" s="35">
        <f t="shared" ref="E36:M36" si="5">SUM(E37:E42)</f>
        <v>0</v>
      </c>
      <c r="F36" s="35"/>
      <c r="G36" s="35">
        <f t="shared" si="5"/>
        <v>0</v>
      </c>
      <c r="H36" s="35">
        <f t="shared" si="5"/>
        <v>0</v>
      </c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38">
        <v>3000000</v>
      </c>
      <c r="D37" s="39"/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3"/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38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3"/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38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3"/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38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3"/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38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3"/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38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3"/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38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3"/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4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3"/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38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3"/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38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3"/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38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3"/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38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3"/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38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3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38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3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38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3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4">
        <f>SUM(C53:C61)</f>
        <v>35070000</v>
      </c>
      <c r="D52" s="35">
        <f>SUM(D53:D61)</f>
        <v>24101512</v>
      </c>
      <c r="E52" s="35">
        <f t="shared" ref="E52:P52" si="6">SUM(E53:E61)</f>
        <v>0</v>
      </c>
      <c r="F52" s="35">
        <f t="shared" si="6"/>
        <v>1807937.53</v>
      </c>
      <c r="G52" s="35">
        <f t="shared" si="6"/>
        <v>0</v>
      </c>
      <c r="H52" s="35">
        <f t="shared" si="6"/>
        <v>0</v>
      </c>
      <c r="I52" s="35">
        <f t="shared" si="6"/>
        <v>0</v>
      </c>
      <c r="J52" s="35">
        <f t="shared" si="6"/>
        <v>0</v>
      </c>
      <c r="K52" s="35">
        <f t="shared" si="6"/>
        <v>0</v>
      </c>
      <c r="L52" s="35">
        <f t="shared" si="6"/>
        <v>0</v>
      </c>
      <c r="M52" s="35">
        <f t="shared" si="6"/>
        <v>0</v>
      </c>
      <c r="N52" s="35">
        <f t="shared" si="6"/>
        <v>0</v>
      </c>
      <c r="O52" s="35">
        <f t="shared" si="6"/>
        <v>0</v>
      </c>
      <c r="P52" s="35">
        <f t="shared" si="6"/>
        <v>0</v>
      </c>
      <c r="Q52" s="36">
        <f>+Q53+Q54+Q55+Q56+Q57+Q58+Q59+Q60+Q61</f>
        <v>1807937.53</v>
      </c>
    </row>
    <row r="53" s="10" customFormat="1" ht="27" customHeight="1" spans="2:17">
      <c r="B53" s="37" t="s">
        <v>58</v>
      </c>
      <c r="C53" s="38">
        <v>9300000</v>
      </c>
      <c r="D53" s="39">
        <v>16000000</v>
      </c>
      <c r="E53" s="40">
        <v>0</v>
      </c>
      <c r="F53" s="40">
        <v>1746558.53</v>
      </c>
      <c r="G53" s="40">
        <v>0</v>
      </c>
      <c r="H53" s="40"/>
      <c r="I53" s="40">
        <v>0</v>
      </c>
      <c r="J53" s="40"/>
      <c r="K53" s="40"/>
      <c r="L53" s="40">
        <v>0</v>
      </c>
      <c r="M53" s="40"/>
      <c r="N53" s="40">
        <v>0</v>
      </c>
      <c r="O53" s="40"/>
      <c r="P53" s="39"/>
      <c r="Q53" s="41">
        <f t="shared" si="3"/>
        <v>1746558.53</v>
      </c>
    </row>
    <row r="54" s="10" customFormat="1" ht="42" customHeight="1" spans="2:17">
      <c r="B54" s="42" t="s">
        <v>59</v>
      </c>
      <c r="C54" s="38">
        <v>1000000</v>
      </c>
      <c r="D54" s="39"/>
      <c r="E54" s="40">
        <v>0</v>
      </c>
      <c r="F54" s="40">
        <v>61379</v>
      </c>
      <c r="G54" s="40"/>
      <c r="H54" s="40"/>
      <c r="I54" s="40"/>
      <c r="J54" s="40"/>
      <c r="K54" s="40">
        <v>0</v>
      </c>
      <c r="L54" s="40">
        <v>0</v>
      </c>
      <c r="M54" s="40"/>
      <c r="N54" s="40"/>
      <c r="O54" s="40">
        <v>0</v>
      </c>
      <c r="P54" s="39"/>
      <c r="Q54" s="41">
        <f t="shared" si="3"/>
        <v>61379</v>
      </c>
    </row>
    <row r="55" s="10" customFormat="1" ht="27" customHeight="1" spans="2:17">
      <c r="B55" s="37" t="s">
        <v>60</v>
      </c>
      <c r="C55" s="38">
        <v>550000</v>
      </c>
      <c r="D55" s="39"/>
      <c r="E55" s="40"/>
      <c r="F55" s="40"/>
      <c r="G55" s="40"/>
      <c r="H55" s="40"/>
      <c r="I55" s="40"/>
      <c r="J55" s="40"/>
      <c r="K55" s="40">
        <v>0</v>
      </c>
      <c r="L55" s="40">
        <v>0</v>
      </c>
      <c r="M55" s="40">
        <v>0</v>
      </c>
      <c r="N55" s="40"/>
      <c r="O55" s="40">
        <v>0</v>
      </c>
      <c r="P55" s="39"/>
      <c r="Q55" s="41">
        <f t="shared" si="3"/>
        <v>0</v>
      </c>
    </row>
    <row r="56" s="10" customFormat="1" ht="38.25" customHeight="1" spans="2:17">
      <c r="B56" s="42" t="s">
        <v>61</v>
      </c>
      <c r="C56" s="38">
        <v>12120000</v>
      </c>
      <c r="D56" s="39">
        <v>20000</v>
      </c>
      <c r="E56" s="40">
        <v>0</v>
      </c>
      <c r="F56" s="40">
        <v>0</v>
      </c>
      <c r="G56" s="40"/>
      <c r="H56" s="40"/>
      <c r="I56" s="40"/>
      <c r="J56" s="40"/>
      <c r="K56" s="40"/>
      <c r="L56" s="40"/>
      <c r="M56" s="40"/>
      <c r="N56" s="40"/>
      <c r="O56" s="40">
        <v>0</v>
      </c>
      <c r="P56" s="39"/>
      <c r="Q56" s="41">
        <f t="shared" si="3"/>
        <v>0</v>
      </c>
    </row>
    <row r="57" s="10" customFormat="1" ht="27" customHeight="1" spans="2:17">
      <c r="B57" s="37" t="s">
        <v>62</v>
      </c>
      <c r="C57" s="38">
        <v>8200000</v>
      </c>
      <c r="D57" s="39">
        <v>3700000</v>
      </c>
      <c r="E57" s="40"/>
      <c r="F57" s="40"/>
      <c r="G57" s="40"/>
      <c r="H57" s="40"/>
      <c r="I57" s="40">
        <v>0</v>
      </c>
      <c r="J57" s="40"/>
      <c r="K57" s="40">
        <v>0</v>
      </c>
      <c r="L57" s="40">
        <v>0</v>
      </c>
      <c r="M57" s="40"/>
      <c r="N57" s="40">
        <v>0</v>
      </c>
      <c r="O57" s="40"/>
      <c r="P57" s="39"/>
      <c r="Q57" s="41">
        <f t="shared" si="3"/>
        <v>0</v>
      </c>
    </row>
    <row r="58" s="10" customFormat="1" ht="27" customHeight="1" spans="2:17">
      <c r="B58" s="37" t="s">
        <v>63</v>
      </c>
      <c r="C58" s="38">
        <v>400000</v>
      </c>
      <c r="D58" s="39"/>
      <c r="E58" s="40"/>
      <c r="F58" s="40"/>
      <c r="G58" s="40"/>
      <c r="H58" s="40"/>
      <c r="I58" s="40">
        <v>0</v>
      </c>
      <c r="J58" s="40"/>
      <c r="K58" s="40">
        <v>0</v>
      </c>
      <c r="L58" s="40">
        <v>0</v>
      </c>
      <c r="M58" s="40"/>
      <c r="N58" s="40">
        <v>0</v>
      </c>
      <c r="O58" s="40"/>
      <c r="P58" s="39"/>
      <c r="Q58" s="41">
        <f t="shared" si="3"/>
        <v>0</v>
      </c>
    </row>
    <row r="59" s="10" customFormat="1" ht="27" customHeight="1" spans="2:17">
      <c r="B59" s="37" t="s">
        <v>64</v>
      </c>
      <c r="C59" s="38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38">
        <v>3000000</v>
      </c>
      <c r="D60" s="39"/>
      <c r="E60" s="40">
        <v>0</v>
      </c>
      <c r="F60" s="40">
        <v>0</v>
      </c>
      <c r="G60" s="40">
        <v>0</v>
      </c>
      <c r="H60" s="40"/>
      <c r="I60" s="40"/>
      <c r="J60" s="40"/>
      <c r="K60" s="40"/>
      <c r="L60" s="40"/>
      <c r="M60" s="40"/>
      <c r="N60" s="40">
        <v>0</v>
      </c>
      <c r="O60" s="40"/>
      <c r="P60" s="39"/>
      <c r="Q60" s="41">
        <f t="shared" si="3"/>
        <v>0</v>
      </c>
    </row>
    <row r="61" s="10" customFormat="1" ht="36.75" customHeight="1" spans="2:17">
      <c r="B61" s="42" t="s">
        <v>66</v>
      </c>
      <c r="C61" s="38">
        <v>500000</v>
      </c>
      <c r="D61" s="39">
        <v>4381512</v>
      </c>
      <c r="E61" s="40"/>
      <c r="F61" s="40"/>
      <c r="G61" s="40"/>
      <c r="H61" s="40"/>
      <c r="I61" s="40"/>
      <c r="J61" s="40"/>
      <c r="K61" s="40"/>
      <c r="L61" s="40"/>
      <c r="M61" s="40"/>
      <c r="N61" s="40">
        <v>0</v>
      </c>
      <c r="O61" s="40"/>
      <c r="P61" s="39"/>
      <c r="Q61" s="41">
        <f t="shared" si="3"/>
        <v>0</v>
      </c>
    </row>
    <row r="62" s="10" customFormat="1" ht="27" customHeight="1" spans="2:17">
      <c r="B62" s="33" t="s">
        <v>67</v>
      </c>
      <c r="C62" s="34">
        <f>SUM(C63:C65)</f>
        <v>3900000</v>
      </c>
      <c r="D62" s="35">
        <f>SUM(D63:D65)</f>
        <v>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v>0</v>
      </c>
      <c r="O62" s="40"/>
      <c r="P62" s="39"/>
      <c r="Q62" s="41">
        <f t="shared" si="3"/>
        <v>0</v>
      </c>
    </row>
    <row r="63" s="10" customFormat="1" ht="27" customHeight="1" spans="2:17">
      <c r="B63" s="37" t="s">
        <v>68</v>
      </c>
      <c r="C63" s="38">
        <v>3900000</v>
      </c>
      <c r="D63" s="39"/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0</v>
      </c>
      <c r="O63" s="40"/>
      <c r="P63" s="39"/>
      <c r="Q63" s="41">
        <f t="shared" si="3"/>
        <v>0</v>
      </c>
    </row>
    <row r="64" s="10" customFormat="1" ht="27" customHeight="1" spans="2:17">
      <c r="B64" s="37" t="s">
        <v>69</v>
      </c>
      <c r="C64" s="38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38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38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4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38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38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4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38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38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38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6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49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50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50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49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50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50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2:17">
      <c r="B81" s="33" t="s">
        <v>86</v>
      </c>
      <c r="C81" s="49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2:17">
      <c r="B82" s="37" t="s">
        <v>87</v>
      </c>
      <c r="C82" s="50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2:17">
      <c r="B83" s="51" t="s">
        <v>88</v>
      </c>
      <c r="C83" s="52">
        <f>+C10+C16+C26+C36+C44+C52+C62+C67+C70</f>
        <v>1024795636</v>
      </c>
      <c r="D83" s="53">
        <f>+D10+D16+D26+D36+D52+D62</f>
        <v>0</v>
      </c>
      <c r="E83" s="53">
        <f t="shared" ref="E83:P83" si="8">+E10+E16+E26+E36+E44+E52+E62+E67+E70</f>
        <v>34516386.94</v>
      </c>
      <c r="F83" s="54">
        <f t="shared" si="8"/>
        <v>78356760.78</v>
      </c>
      <c r="G83" s="54">
        <f t="shared" si="8"/>
        <v>0</v>
      </c>
      <c r="H83" s="54">
        <f t="shared" si="8"/>
        <v>0</v>
      </c>
      <c r="I83" s="54">
        <f t="shared" si="8"/>
        <v>0</v>
      </c>
      <c r="J83" s="54">
        <f t="shared" si="8"/>
        <v>0</v>
      </c>
      <c r="K83" s="54">
        <f t="shared" si="8"/>
        <v>0</v>
      </c>
      <c r="L83" s="54">
        <f t="shared" si="8"/>
        <v>0</v>
      </c>
      <c r="M83" s="54">
        <f t="shared" si="8"/>
        <v>0</v>
      </c>
      <c r="N83" s="54">
        <f t="shared" si="8"/>
        <v>0</v>
      </c>
      <c r="O83" s="54">
        <f t="shared" si="8"/>
        <v>0</v>
      </c>
      <c r="P83" s="53">
        <f t="shared" si="8"/>
        <v>0</v>
      </c>
      <c r="Q83" s="55">
        <f t="shared" si="3"/>
        <v>112873147.72</v>
      </c>
    </row>
    <row r="85" ht="18.75" spans="2:17">
      <c r="B85" s="16" t="s">
        <v>260</v>
      </c>
    </row>
    <row r="86" ht="18.75" spans="2:17">
      <c r="B86" s="13" t="s">
        <v>261</v>
      </c>
    </row>
    <row r="87" ht="18.75" spans="2:17">
      <c r="B87" s="13" t="s">
        <v>262</v>
      </c>
    </row>
    <row r="88" ht="18.75" spans="2:17">
      <c r="B88" s="16" t="s">
        <v>263</v>
      </c>
    </row>
    <row r="89" ht="18.75" spans="2:17">
      <c r="B89" s="13" t="s">
        <v>264</v>
      </c>
    </row>
    <row r="90" ht="18.75" spans="2:17">
      <c r="B90" s="13" t="s">
        <v>265</v>
      </c>
    </row>
    <row r="91" ht="18.75" spans="2:17">
      <c r="B91" s="13"/>
    </row>
    <row r="92" ht="18.75" spans="2:17">
      <c r="B92" s="13"/>
    </row>
    <row r="93" ht="18.75" spans="2:17">
      <c r="B93" s="13"/>
    </row>
    <row r="94" ht="18.75" spans="2:17">
      <c r="B94" s="13"/>
    </row>
    <row r="95" ht="18.75" spans="2:17">
      <c r="B95" s="13"/>
    </row>
    <row r="97" ht="33.75" customHeight="1" spans="1:17">
      <c r="A97" s="56" t="s">
        <v>97</v>
      </c>
      <c r="B97" s="57" t="s">
        <v>125</v>
      </c>
      <c r="C97" s="58" t="s">
        <v>126</v>
      </c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</row>
    <row r="98" ht="23.25" spans="1:17">
      <c r="B98" s="59" t="s">
        <v>127</v>
      </c>
      <c r="C98" s="60" t="s">
        <v>128</v>
      </c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</row>
    <row r="99" ht="23.25" spans="1:17">
      <c r="B99" s="61"/>
      <c r="C99" s="61"/>
      <c r="D99" s="61"/>
    </row>
    <row r="100" ht="23.25" spans="1:17">
      <c r="B100" s="62"/>
      <c r="C100" s="62"/>
      <c r="D100" s="62"/>
    </row>
    <row r="101" ht="23.25" spans="1:17">
      <c r="B101" s="63" t="s">
        <v>98</v>
      </c>
      <c r="C101" s="63"/>
      <c r="D101" s="63"/>
    </row>
    <row r="102" ht="21" customHeight="1" spans="1:17">
      <c r="B102" s="61" t="s">
        <v>99</v>
      </c>
      <c r="C102" s="61"/>
    </row>
    <row r="103" ht="21" spans="1:17">
      <c r="B103" s="64"/>
      <c r="C103" s="64"/>
      <c r="D103" s="64"/>
    </row>
  </sheetData>
  <mergeCells count="12">
    <mergeCell ref="B1:Q1"/>
    <mergeCell ref="B2:Q2"/>
    <mergeCell ref="B3:Q3"/>
    <mergeCell ref="B4:Q4"/>
    <mergeCell ref="E7:Q7"/>
    <mergeCell ref="C97:Q97"/>
    <mergeCell ref="C98:Q98"/>
    <mergeCell ref="B100:D100"/>
    <mergeCell ref="B103:D103"/>
    <mergeCell ref="B7:B8"/>
    <mergeCell ref="C7:C8"/>
    <mergeCell ref="D7:D8"/>
  </mergeCells>
  <pageMargins left="0.708661417322835" right="0.708661417322835" top="0.53" bottom="0.48" header="0.31496062992126" footer="0.31496062992126"/>
  <pageSetup paperSize="119" scale="41" orientation="landscape"/>
  <headerFooter/>
  <rowBreaks count="2" manualBreakCount="2">
    <brk id="44" max="16" man="1"/>
    <brk id="102" max="16383" man="1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117"/>
  <sheetViews>
    <sheetView workbookViewId="0">
      <selection activeCell="I115" sqref="I115"/>
    </sheetView>
  </sheetViews>
  <sheetFormatPr defaultColWidth="11.4285714285714" defaultRowHeight="15" outlineLevelCol="6"/>
  <cols>
    <col min="6" max="6" width="13.2857142857143" customWidth="1"/>
  </cols>
  <sheetData>
    <row r="2" ht="15.75"/>
    <row r="3" ht="15.75" spans="5:7">
      <c r="E3" t="s">
        <v>189</v>
      </c>
      <c r="F3" s="1">
        <v>229982</v>
      </c>
      <c r="G3" t="s">
        <v>190</v>
      </c>
    </row>
    <row r="4" ht="15.75" spans="5:7">
      <c r="F4" s="1"/>
    </row>
    <row r="5" ht="15.75" spans="5:7">
      <c r="E5" t="s">
        <v>191</v>
      </c>
      <c r="F5" s="1">
        <v>118397.42</v>
      </c>
      <c r="G5" t="s">
        <v>192</v>
      </c>
    </row>
    <row r="6" ht="15.75" spans="5:7">
      <c r="E6" t="s">
        <v>191</v>
      </c>
      <c r="F6" s="2">
        <v>134520</v>
      </c>
      <c r="G6" t="s">
        <v>192</v>
      </c>
    </row>
    <row r="7" ht="15.75" spans="5:7">
      <c r="F7" s="2"/>
    </row>
    <row r="8" ht="15.75" spans="5:7">
      <c r="E8" t="s">
        <v>193</v>
      </c>
      <c r="F8" s="1">
        <v>143582.4</v>
      </c>
      <c r="G8" t="s">
        <v>194</v>
      </c>
    </row>
    <row r="9" ht="15.75" spans="5:7">
      <c r="F9" s="1"/>
    </row>
    <row r="10" ht="15.75" spans="5:7">
      <c r="F10" s="1"/>
    </row>
    <row r="11" ht="15.75" spans="5:7">
      <c r="E11" t="s">
        <v>197</v>
      </c>
      <c r="F11" s="1">
        <v>17539.57</v>
      </c>
      <c r="G11" t="s">
        <v>196</v>
      </c>
    </row>
    <row r="12" ht="15.75" spans="5:7">
      <c r="E12" t="s">
        <v>197</v>
      </c>
      <c r="F12" s="3">
        <v>47300.28</v>
      </c>
      <c r="G12" t="s">
        <v>196</v>
      </c>
    </row>
    <row r="13" ht="15.75" spans="5:7">
      <c r="E13" t="s">
        <v>197</v>
      </c>
      <c r="F13" s="4">
        <v>73691</v>
      </c>
      <c r="G13" t="s">
        <v>196</v>
      </c>
    </row>
    <row r="14" ht="15.75" spans="5:7">
      <c r="E14" t="s">
        <v>197</v>
      </c>
      <c r="F14" s="2">
        <v>299000.2</v>
      </c>
      <c r="G14" t="s">
        <v>196</v>
      </c>
    </row>
    <row r="15" ht="15.75" spans="5:7">
      <c r="E15" t="s">
        <v>197</v>
      </c>
      <c r="F15" s="2">
        <v>10795.74</v>
      </c>
      <c r="G15" t="s">
        <v>196</v>
      </c>
    </row>
    <row r="16" ht="15.75" spans="5:7">
      <c r="E16" t="s">
        <v>197</v>
      </c>
      <c r="F16" s="2">
        <v>57679</v>
      </c>
      <c r="G16" t="s">
        <v>196</v>
      </c>
    </row>
    <row r="17" ht="15.75" spans="5:7">
      <c r="E17" t="s">
        <v>195</v>
      </c>
      <c r="F17" s="3">
        <v>380432.94</v>
      </c>
      <c r="G17" t="s">
        <v>196</v>
      </c>
    </row>
    <row r="18" ht="15.75" spans="5:7">
      <c r="E18" t="s">
        <v>195</v>
      </c>
      <c r="F18" s="3">
        <v>248000.09</v>
      </c>
      <c r="G18" t="s">
        <v>196</v>
      </c>
    </row>
    <row r="19" ht="15.75" spans="5:7">
      <c r="F19" s="3"/>
    </row>
    <row r="20" ht="15.75" spans="5:7">
      <c r="F20" s="3"/>
    </row>
    <row r="21" ht="15.75" spans="5:7">
      <c r="F21" s="3"/>
    </row>
    <row r="22" ht="15.75" spans="5:7">
      <c r="E22" t="s">
        <v>202</v>
      </c>
      <c r="F22" s="3">
        <v>18370</v>
      </c>
      <c r="G22" t="s">
        <v>200</v>
      </c>
    </row>
    <row r="23" ht="15.75" spans="5:7">
      <c r="F23" s="3"/>
    </row>
    <row r="24" ht="15.75" spans="5:7">
      <c r="F24" s="3"/>
    </row>
    <row r="25" ht="15.75" spans="5:7">
      <c r="E25" t="s">
        <v>201</v>
      </c>
      <c r="F25" s="3">
        <v>180000</v>
      </c>
      <c r="G25" t="s">
        <v>200</v>
      </c>
    </row>
    <row r="26" ht="15.75" spans="5:7">
      <c r="F26" s="3"/>
    </row>
    <row r="27" ht="15.75" spans="5:7">
      <c r="F27" s="3"/>
    </row>
    <row r="28" ht="15.75" spans="5:7">
      <c r="F28" s="3"/>
    </row>
    <row r="29" ht="15.75" spans="5:7">
      <c r="E29" t="s">
        <v>203</v>
      </c>
      <c r="F29" s="3">
        <v>180000</v>
      </c>
      <c r="G29" t="s">
        <v>200</v>
      </c>
    </row>
    <row r="30" ht="15.75" spans="5:7">
      <c r="F30" s="3"/>
    </row>
    <row r="31" ht="15.75" spans="5:7">
      <c r="F31" s="3"/>
    </row>
    <row r="32" ht="15.75" spans="5:7">
      <c r="E32" t="s">
        <v>204</v>
      </c>
      <c r="F32" s="3">
        <v>239989</v>
      </c>
      <c r="G32" t="s">
        <v>200</v>
      </c>
    </row>
    <row r="33" ht="15.75" spans="5:7">
      <c r="E33" t="s">
        <v>205</v>
      </c>
      <c r="F33" s="2">
        <v>93758.46</v>
      </c>
      <c r="G33" t="s">
        <v>200</v>
      </c>
    </row>
    <row r="34" ht="15.75" spans="5:7">
      <c r="E34" t="s">
        <v>199</v>
      </c>
      <c r="F34" s="3">
        <v>580635</v>
      </c>
      <c r="G34" t="s">
        <v>200</v>
      </c>
    </row>
    <row r="35" ht="15.75" spans="5:7">
      <c r="E35" t="s">
        <v>199</v>
      </c>
      <c r="F35" s="3">
        <v>422364.99</v>
      </c>
      <c r="G35" t="s">
        <v>200</v>
      </c>
    </row>
    <row r="36" ht="15.75" spans="5:7">
      <c r="E36" t="s">
        <v>199</v>
      </c>
      <c r="F36" s="4">
        <v>250000</v>
      </c>
      <c r="G36" t="s">
        <v>200</v>
      </c>
    </row>
    <row r="37" ht="15.75" spans="5:7">
      <c r="E37" t="s">
        <v>199</v>
      </c>
      <c r="F37" s="2">
        <v>699740</v>
      </c>
      <c r="G37" t="s">
        <v>200</v>
      </c>
    </row>
    <row r="38" ht="15.75" spans="5:7">
      <c r="F38" s="5"/>
    </row>
    <row r="39" ht="15.75" spans="5:7">
      <c r="F39" s="5"/>
    </row>
    <row r="40" ht="15.75" spans="5:7">
      <c r="E40" t="s">
        <v>208</v>
      </c>
      <c r="F40" s="3">
        <v>61478</v>
      </c>
      <c r="G40" t="s">
        <v>207</v>
      </c>
    </row>
    <row r="41" ht="15.75" spans="5:7">
      <c r="E41" t="s">
        <v>208</v>
      </c>
      <c r="F41" s="2">
        <v>855500</v>
      </c>
      <c r="G41" t="s">
        <v>207</v>
      </c>
    </row>
    <row r="42" ht="15.75" spans="5:7">
      <c r="E42" t="s">
        <v>206</v>
      </c>
      <c r="F42" s="3">
        <v>454756.11</v>
      </c>
      <c r="G42" t="s">
        <v>207</v>
      </c>
    </row>
    <row r="43" ht="15.75" spans="5:7">
      <c r="E43" t="s">
        <v>206</v>
      </c>
      <c r="F43" s="1">
        <v>5270379.69</v>
      </c>
      <c r="G43" t="s">
        <v>207</v>
      </c>
    </row>
    <row r="44" ht="15.75" spans="5:7">
      <c r="E44" t="s">
        <v>206</v>
      </c>
      <c r="F44" s="3">
        <v>1384281.6</v>
      </c>
      <c r="G44" t="s">
        <v>207</v>
      </c>
    </row>
    <row r="45" ht="15.75" spans="5:7">
      <c r="F45" s="3"/>
    </row>
    <row r="46" ht="15.75" spans="5:7">
      <c r="F46" s="3"/>
    </row>
    <row r="47" ht="15.75" spans="5:7">
      <c r="E47" t="s">
        <v>209</v>
      </c>
      <c r="F47" s="4">
        <v>600000</v>
      </c>
      <c r="G47" t="s">
        <v>207</v>
      </c>
    </row>
    <row r="48" ht="15.75" spans="5:7">
      <c r="E48" t="s">
        <v>209</v>
      </c>
      <c r="F48" s="4">
        <v>166380</v>
      </c>
      <c r="G48" t="s">
        <v>207</v>
      </c>
    </row>
    <row r="49" ht="15.75" spans="5:7">
      <c r="F49" s="4"/>
    </row>
    <row r="50" ht="15.75" spans="5:7">
      <c r="F50" s="4"/>
    </row>
    <row r="51" ht="15.75" spans="5:7">
      <c r="E51" t="s">
        <v>210</v>
      </c>
      <c r="F51" s="3">
        <v>1299941.3</v>
      </c>
      <c r="G51" t="s">
        <v>211</v>
      </c>
    </row>
    <row r="52" ht="15.75" spans="5:7">
      <c r="E52" t="s">
        <v>210</v>
      </c>
      <c r="F52" s="3">
        <v>23100</v>
      </c>
      <c r="G52" t="s">
        <v>211</v>
      </c>
    </row>
    <row r="53" ht="15.75" spans="5:7">
      <c r="E53" t="s">
        <v>210</v>
      </c>
      <c r="F53" s="4">
        <v>41250</v>
      </c>
      <c r="G53" t="s">
        <v>211</v>
      </c>
    </row>
    <row r="54" ht="15.75" spans="5:7">
      <c r="E54" t="s">
        <v>210</v>
      </c>
      <c r="F54" s="2">
        <v>123200</v>
      </c>
      <c r="G54" t="s">
        <v>211</v>
      </c>
    </row>
    <row r="55" ht="15.75" spans="5:7">
      <c r="F55" s="2"/>
    </row>
    <row r="56" ht="15.75" spans="5:7">
      <c r="F56" s="2"/>
    </row>
    <row r="57" ht="15.75" spans="5:7">
      <c r="E57" t="s">
        <v>212</v>
      </c>
      <c r="F57" s="2">
        <v>371706.02</v>
      </c>
      <c r="G57" t="s">
        <v>211</v>
      </c>
    </row>
    <row r="58" ht="15.75" spans="5:7">
      <c r="F58" s="2"/>
    </row>
    <row r="59" ht="15.75" spans="5:7">
      <c r="F59" s="2"/>
    </row>
    <row r="60" ht="15.75" spans="5:7">
      <c r="E60" t="s">
        <v>215</v>
      </c>
      <c r="F60" s="2">
        <v>233640</v>
      </c>
      <c r="G60" t="s">
        <v>214</v>
      </c>
    </row>
    <row r="61" ht="15.75" spans="5:7">
      <c r="F61" s="5"/>
    </row>
    <row r="62" ht="15.75" spans="5:7">
      <c r="F62" s="5"/>
    </row>
    <row r="63" ht="15.75" spans="5:7">
      <c r="E63" t="s">
        <v>213</v>
      </c>
      <c r="F63" s="3">
        <v>2386432</v>
      </c>
      <c r="G63" t="s">
        <v>214</v>
      </c>
    </row>
    <row r="64" ht="15.75" spans="5:7">
      <c r="F64" s="3"/>
    </row>
    <row r="65" ht="15.75" spans="5:7">
      <c r="F65" s="3"/>
    </row>
    <row r="66" ht="15.75" spans="5:7">
      <c r="E66" t="s">
        <v>216</v>
      </c>
      <c r="F66" s="3">
        <v>498550</v>
      </c>
      <c r="G66" t="s">
        <v>217</v>
      </c>
    </row>
    <row r="67" ht="15.75" spans="5:7">
      <c r="F67" s="6"/>
    </row>
    <row r="68" ht="15.75" spans="5:7">
      <c r="F68" s="6"/>
    </row>
    <row r="69" ht="15.75" spans="5:7">
      <c r="E69" t="s">
        <v>218</v>
      </c>
      <c r="F69" s="2">
        <v>94832.91</v>
      </c>
      <c r="G69" t="s">
        <v>219</v>
      </c>
    </row>
    <row r="70" ht="15.75" spans="5:7">
      <c r="F70" s="5"/>
    </row>
    <row r="71" ht="15.75" spans="5:7">
      <c r="F71" s="5"/>
    </row>
    <row r="72" ht="15.75" spans="5:7">
      <c r="E72" t="s">
        <v>220</v>
      </c>
      <c r="F72" s="4">
        <v>97068.64</v>
      </c>
      <c r="G72" t="s">
        <v>221</v>
      </c>
    </row>
    <row r="73" ht="15.75" spans="5:7">
      <c r="E73" t="s">
        <v>222</v>
      </c>
      <c r="F73" s="4">
        <v>23648.96</v>
      </c>
      <c r="G73" t="s">
        <v>221</v>
      </c>
    </row>
    <row r="74" ht="15.75" spans="5:7">
      <c r="F74" s="5"/>
    </row>
    <row r="75" ht="15.75" spans="5:7">
      <c r="F75" s="5"/>
    </row>
    <row r="76" ht="15.75" spans="5:7">
      <c r="E76" t="s">
        <v>228</v>
      </c>
      <c r="F76" s="1">
        <v>867258.7</v>
      </c>
      <c r="G76" t="s">
        <v>224</v>
      </c>
    </row>
    <row r="77" ht="15.75" spans="5:7">
      <c r="E77" t="s">
        <v>227</v>
      </c>
      <c r="F77" s="3">
        <v>35754</v>
      </c>
      <c r="G77" t="s">
        <v>224</v>
      </c>
    </row>
    <row r="78" ht="15.75" spans="5:7">
      <c r="E78" t="s">
        <v>227</v>
      </c>
      <c r="F78" s="3">
        <v>872093.67</v>
      </c>
      <c r="G78" t="s">
        <v>224</v>
      </c>
    </row>
    <row r="79" ht="15.75" spans="5:7">
      <c r="E79" t="s">
        <v>227</v>
      </c>
      <c r="F79" s="3">
        <v>1151938.21</v>
      </c>
      <c r="G79" t="s">
        <v>224</v>
      </c>
    </row>
    <row r="80" ht="15.75" spans="5:7">
      <c r="E80" t="s">
        <v>227</v>
      </c>
      <c r="F80" s="4">
        <v>247800</v>
      </c>
      <c r="G80" t="s">
        <v>224</v>
      </c>
    </row>
    <row r="81" ht="15.75" spans="5:7">
      <c r="E81" t="s">
        <v>227</v>
      </c>
      <c r="F81" s="4">
        <v>5631815.5</v>
      </c>
      <c r="G81" t="s">
        <v>224</v>
      </c>
    </row>
    <row r="82" ht="15.75" spans="5:7">
      <c r="E82" t="s">
        <v>227</v>
      </c>
      <c r="F82" s="4">
        <v>7080</v>
      </c>
      <c r="G82" t="s">
        <v>224</v>
      </c>
    </row>
    <row r="83" ht="15.75" spans="5:7">
      <c r="E83" t="s">
        <v>227</v>
      </c>
      <c r="F83" s="4">
        <v>20254.7</v>
      </c>
      <c r="G83" t="s">
        <v>224</v>
      </c>
    </row>
    <row r="84" ht="15.75" spans="5:7">
      <c r="E84" t="s">
        <v>223</v>
      </c>
      <c r="F84" s="1">
        <v>1268140.1</v>
      </c>
      <c r="G84" t="s">
        <v>224</v>
      </c>
    </row>
    <row r="85" ht="15.75" spans="5:7">
      <c r="E85" t="s">
        <v>223</v>
      </c>
      <c r="F85" s="1">
        <v>702268.03</v>
      </c>
      <c r="G85" t="s">
        <v>224</v>
      </c>
    </row>
    <row r="86" ht="15.75" spans="5:7">
      <c r="E86" t="s">
        <v>223</v>
      </c>
      <c r="F86" s="3">
        <v>25315.65</v>
      </c>
      <c r="G86" t="s">
        <v>224</v>
      </c>
    </row>
    <row r="87" ht="15.75" spans="5:7">
      <c r="F87" s="3"/>
    </row>
    <row r="88" ht="15.75" spans="5:7">
      <c r="F88" s="3"/>
    </row>
    <row r="89" ht="15.75" spans="5:7">
      <c r="E89" t="s">
        <v>225</v>
      </c>
      <c r="F89" s="3">
        <v>363676</v>
      </c>
      <c r="G89" t="s">
        <v>224</v>
      </c>
    </row>
    <row r="90" ht="15.75" spans="5:7">
      <c r="F90" s="3"/>
    </row>
    <row r="91" ht="15.75" spans="5:7">
      <c r="F91" s="3"/>
    </row>
    <row r="92" ht="15.75" spans="5:7">
      <c r="E92" t="s">
        <v>226</v>
      </c>
      <c r="F92" s="3">
        <v>117823</v>
      </c>
      <c r="G92" t="s">
        <v>224</v>
      </c>
    </row>
    <row r="93" ht="15.75" spans="5:7">
      <c r="E93" t="s">
        <v>229</v>
      </c>
      <c r="F93" s="3">
        <v>243080</v>
      </c>
      <c r="G93" t="s">
        <v>224</v>
      </c>
    </row>
    <row r="94" ht="15.75" spans="5:7">
      <c r="F94" s="3"/>
    </row>
    <row r="95" ht="15.75" spans="5:7">
      <c r="F95" s="3"/>
    </row>
    <row r="96" ht="15.75" spans="5:7">
      <c r="E96" t="s">
        <v>231</v>
      </c>
      <c r="F96" s="3">
        <v>91332</v>
      </c>
      <c r="G96" t="s">
        <v>224</v>
      </c>
    </row>
    <row r="97" ht="15.75" spans="5:7">
      <c r="E97" t="s">
        <v>231</v>
      </c>
      <c r="F97" s="7">
        <v>672.6</v>
      </c>
      <c r="G97" t="s">
        <v>224</v>
      </c>
    </row>
    <row r="98" ht="15.75" spans="5:7">
      <c r="F98" s="7"/>
    </row>
    <row r="99" ht="15.75" spans="5:7">
      <c r="F99" s="7"/>
    </row>
    <row r="100" ht="15.75" spans="5:7">
      <c r="E100" t="s">
        <v>235</v>
      </c>
      <c r="F100" s="1">
        <v>204066.85</v>
      </c>
      <c r="G100" t="s">
        <v>233</v>
      </c>
    </row>
    <row r="101" ht="15.75" spans="5:7">
      <c r="E101" t="s">
        <v>235</v>
      </c>
      <c r="F101" s="3">
        <v>84983.6</v>
      </c>
      <c r="G101" t="s">
        <v>233</v>
      </c>
    </row>
    <row r="102" ht="15.75" spans="5:7">
      <c r="E102" t="s">
        <v>235</v>
      </c>
      <c r="F102" s="4">
        <v>2124000</v>
      </c>
      <c r="G102" t="s">
        <v>233</v>
      </c>
    </row>
    <row r="103" ht="15.75" spans="5:7">
      <c r="F103" s="4"/>
    </row>
    <row r="104" ht="15.75" spans="5:7">
      <c r="F104" s="4"/>
    </row>
    <row r="105" ht="15.75" spans="5:7">
      <c r="E105" t="s">
        <v>236</v>
      </c>
      <c r="F105" s="4">
        <v>1649640</v>
      </c>
      <c r="G105" t="s">
        <v>233</v>
      </c>
    </row>
    <row r="106" ht="15.75" spans="5:7">
      <c r="F106" s="4"/>
    </row>
    <row r="107" ht="15.75" spans="5:7">
      <c r="F107" s="4"/>
    </row>
    <row r="108" ht="15.75" spans="5:7">
      <c r="E108" t="s">
        <v>232</v>
      </c>
      <c r="F108" s="3">
        <v>1383560.15</v>
      </c>
      <c r="G108" t="s">
        <v>233</v>
      </c>
    </row>
    <row r="109" ht="15.75" spans="5:7">
      <c r="F109" s="3"/>
    </row>
    <row r="110" ht="15.75" spans="5:7">
      <c r="F110" s="3"/>
    </row>
    <row r="111" ht="15.75" spans="5:7">
      <c r="E111" t="s">
        <v>237</v>
      </c>
      <c r="F111" s="4">
        <v>5596150</v>
      </c>
      <c r="G111" t="s">
        <v>238</v>
      </c>
    </row>
    <row r="112" ht="15.75" spans="5:7">
      <c r="F112" s="4"/>
    </row>
    <row r="113" ht="15.75" spans="3:7">
      <c r="E113" t="s">
        <v>239</v>
      </c>
      <c r="F113" s="4">
        <v>3820000</v>
      </c>
      <c r="G113" t="s">
        <v>240</v>
      </c>
    </row>
    <row r="114" spans="3:7">
      <c r="C114" s="8"/>
    </row>
    <row r="115" spans="3:7">
      <c r="C115" s="8">
        <f>SUM(C3:C114)</f>
        <v>0</v>
      </c>
    </row>
    <row r="116" spans="3:7">
      <c r="F116" s="9"/>
      <c r="G116">
        <f>1850000*4</f>
        <v>7400000</v>
      </c>
    </row>
    <row r="117" spans="3:7">
      <c r="F117" s="9"/>
    </row>
  </sheetData>
  <autoFilter xmlns:etc="http://www.wps.cn/officeDocument/2017/etCustomData" ref="E3:G3" etc:filterBottomFollowUsedRange="0">
    <extLst/>
  </autoFilter>
  <sortState ref="E3:G113">
    <sortCondition ref="E3:E11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view="pageBreakPreview" zoomScale="60" zoomScaleNormal="86" workbookViewId="0">
      <selection activeCell="B93" sqref="B1:K93"/>
    </sheetView>
  </sheetViews>
  <sheetFormatPr defaultColWidth="11.4285714285714" defaultRowHeight="15"/>
  <cols>
    <col min="1" max="1" width="3" customWidth="1"/>
    <col min="2" max="2" width="92.1428571428571" customWidth="1"/>
    <col min="3" max="3" width="31" customWidth="1"/>
    <col min="4" max="4" width="27" hidden="1" customWidth="1"/>
    <col min="5" max="5" width="26.1428571428571" hidden="1" customWidth="1"/>
    <col min="6" max="6" width="26" hidden="1" customWidth="1"/>
    <col min="7" max="10" width="27" hidden="1" customWidth="1"/>
    <col min="11" max="11" width="26.2857142857143" customWidth="1"/>
  </cols>
  <sheetData>
    <row r="1" spans="2:11">
      <c r="B1" s="68"/>
    </row>
    <row r="2" ht="28.5" customHeight="1" spans="2:11">
      <c r="B2" s="179" t="s">
        <v>0</v>
      </c>
      <c r="C2" s="180"/>
      <c r="D2" s="180"/>
      <c r="E2" s="180"/>
      <c r="F2" s="180"/>
      <c r="G2" s="180"/>
      <c r="H2" s="180"/>
      <c r="I2" s="180"/>
      <c r="J2" s="180"/>
      <c r="K2" s="180"/>
    </row>
    <row r="3" ht="21" customHeight="1" spans="2:11">
      <c r="B3" s="181" t="s">
        <v>1</v>
      </c>
      <c r="C3" s="182"/>
      <c r="D3" s="182"/>
      <c r="E3" s="182"/>
      <c r="F3" s="182"/>
      <c r="G3" s="182"/>
      <c r="H3" s="182"/>
      <c r="I3" s="182"/>
      <c r="J3" s="182"/>
      <c r="K3" s="182"/>
    </row>
    <row r="4" ht="21" spans="2:11">
      <c r="B4" s="183">
        <v>2026</v>
      </c>
      <c r="C4" s="184"/>
      <c r="D4" s="184"/>
      <c r="E4" s="184"/>
      <c r="F4" s="184"/>
      <c r="G4" s="184"/>
      <c r="H4" s="184"/>
      <c r="I4" s="184"/>
      <c r="J4" s="184"/>
      <c r="K4" s="184"/>
    </row>
    <row r="5" ht="25.5" customHeight="1" spans="2:11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</row>
    <row r="6" ht="27" customHeight="1" spans="2:11"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8" customHeight="1" spans="2:11">
      <c r="B8" s="185" t="s">
        <v>4</v>
      </c>
      <c r="C8" s="186" t="s">
        <v>5</v>
      </c>
      <c r="D8" s="186" t="s">
        <v>6</v>
      </c>
      <c r="E8" s="200" t="s">
        <v>7</v>
      </c>
      <c r="F8" s="200"/>
      <c r="G8" s="200"/>
      <c r="H8" s="200"/>
      <c r="I8" s="200"/>
      <c r="J8" s="200"/>
      <c r="K8" s="200"/>
    </row>
    <row r="9" ht="30" customHeight="1" spans="2:11">
      <c r="B9" s="185"/>
      <c r="C9" s="186"/>
      <c r="D9" s="186"/>
      <c r="E9" s="186" t="s">
        <v>8</v>
      </c>
      <c r="F9" s="186" t="s">
        <v>9</v>
      </c>
      <c r="G9" s="186" t="s">
        <v>10</v>
      </c>
      <c r="H9" s="186" t="s">
        <v>11</v>
      </c>
      <c r="I9" s="186" t="s">
        <v>12</v>
      </c>
      <c r="J9" s="186" t="s">
        <v>13</v>
      </c>
      <c r="K9" s="186" t="s">
        <v>14</v>
      </c>
    </row>
    <row r="10" s="10" customFormat="1" ht="30" customHeight="1" spans="2:11">
      <c r="B10" s="171" t="s">
        <v>15</v>
      </c>
      <c r="C10" s="187">
        <f>+C11+C17+C27+C37+C45+C52+C62+C67+C70</f>
        <v>2447113502</v>
      </c>
      <c r="D10" s="187">
        <f>+D11+D17+D27+D37+D45+D52+D62+D67+D70</f>
        <v>-11299559</v>
      </c>
      <c r="E10" s="187">
        <f>+E11+E17+E27+E37+E45+E52+E62+E67+E70</f>
        <v>68489291.4</v>
      </c>
      <c r="F10" s="187">
        <f>+F11+F17+F27+F37+F45+F52+F62+F67+F70</f>
        <v>89169821.48</v>
      </c>
      <c r="G10" s="187">
        <f>+G11+G17+G27+G37+G45+G52+G62+G67+G70+G78</f>
        <v>146335017.97</v>
      </c>
      <c r="H10" s="187">
        <f>+H11+H17+H27+H37+H45+H52+H62+H67+H70+H78</f>
        <v>92434528.48</v>
      </c>
      <c r="I10" s="187">
        <f>+I11+I17+I27+I37+I45+I52+I62+I67+I70+I78</f>
        <v>128547574.67</v>
      </c>
      <c r="J10" s="187">
        <f>+J11+J17+J27+J37+J45+J52+J62+J67+J70+J78</f>
        <v>115840408.46</v>
      </c>
      <c r="K10" s="187">
        <f>+K11+K17+K27+K37+K45+K52+K62+K67+K70+K78</f>
        <v>640816642.46</v>
      </c>
    </row>
    <row r="11" s="10" customFormat="1" ht="30" customHeight="1" spans="2:11">
      <c r="B11" s="171" t="s">
        <v>16</v>
      </c>
      <c r="C11" s="172">
        <f t="shared" ref="C11:K11" si="0">SUM(C12:C16)</f>
        <v>809678570</v>
      </c>
      <c r="D11" s="172">
        <f t="shared" si="0"/>
        <v>0</v>
      </c>
      <c r="E11" s="172">
        <f t="shared" si="0"/>
        <v>52875602.56</v>
      </c>
      <c r="F11" s="172">
        <f t="shared" si="0"/>
        <v>53001449.33</v>
      </c>
      <c r="G11" s="172">
        <f t="shared" si="0"/>
        <v>53180063.25</v>
      </c>
      <c r="H11" s="172">
        <f t="shared" si="0"/>
        <v>54078460.57</v>
      </c>
      <c r="I11" s="172">
        <f t="shared" si="0"/>
        <v>96364026.58</v>
      </c>
      <c r="J11" s="172">
        <f t="shared" si="0"/>
        <v>54563671.32</v>
      </c>
      <c r="K11" s="172">
        <f t="shared" si="0"/>
        <v>364063273.61</v>
      </c>
    </row>
    <row r="12" s="10" customFormat="1" ht="30" customHeight="1" spans="2:11">
      <c r="B12" s="173" t="s">
        <v>17</v>
      </c>
      <c r="C12" s="174">
        <v>575851405</v>
      </c>
      <c r="D12" s="174">
        <v>-720000</v>
      </c>
      <c r="E12" s="174">
        <v>42663604.54</v>
      </c>
      <c r="F12" s="174">
        <v>42781600.04</v>
      </c>
      <c r="G12" s="174">
        <v>42935480.52</v>
      </c>
      <c r="H12" s="174">
        <v>42162071.2</v>
      </c>
      <c r="I12" s="174">
        <v>44754829.84</v>
      </c>
      <c r="J12" s="174">
        <v>44109265.49</v>
      </c>
      <c r="K12" s="174">
        <f>+E12+F12+H12+G12+I12+J12</f>
        <v>259406851.63</v>
      </c>
    </row>
    <row r="13" s="10" customFormat="1" ht="30" customHeight="1" spans="2:11">
      <c r="B13" s="173" t="s">
        <v>18</v>
      </c>
      <c r="C13" s="174">
        <v>142108197</v>
      </c>
      <c r="D13" s="174">
        <v>720000</v>
      </c>
      <c r="E13" s="174">
        <v>3711000</v>
      </c>
      <c r="F13" s="174">
        <v>3738797.65</v>
      </c>
      <c r="G13" s="174">
        <v>3771000</v>
      </c>
      <c r="H13" s="174">
        <v>5488213.81</v>
      </c>
      <c r="I13" s="174">
        <v>45151062.18</v>
      </c>
      <c r="J13" s="174">
        <v>3931000</v>
      </c>
      <c r="K13" s="174">
        <f t="shared" ref="K13:K16" si="1">+E13+F13+H13+G13+I13+J13</f>
        <v>65791073.64</v>
      </c>
    </row>
    <row r="14" s="10" customFormat="1" ht="30" customHeight="1" spans="2:11">
      <c r="B14" s="173" t="s">
        <v>19</v>
      </c>
      <c r="C14" s="174">
        <v>468000</v>
      </c>
      <c r="D14" s="119"/>
      <c r="E14" s="121"/>
      <c r="F14" s="121"/>
      <c r="G14" s="121"/>
      <c r="H14" s="121"/>
      <c r="I14" s="174">
        <v>11916.8</v>
      </c>
      <c r="J14" s="174">
        <v>26931.36</v>
      </c>
      <c r="K14" s="174">
        <f t="shared" si="1"/>
        <v>38848.16</v>
      </c>
    </row>
    <row r="15" s="10" customFormat="1" ht="30" customHeight="1" spans="2:11">
      <c r="B15" s="173" t="s">
        <v>20</v>
      </c>
      <c r="C15" s="174">
        <v>10000000</v>
      </c>
      <c r="D15" s="119"/>
      <c r="E15" s="121"/>
      <c r="F15" s="121"/>
      <c r="G15" s="121"/>
      <c r="H15" s="121"/>
      <c r="I15" s="121"/>
      <c r="J15" s="121"/>
      <c r="K15" s="174">
        <f t="shared" si="1"/>
        <v>0</v>
      </c>
    </row>
    <row r="16" s="10" customFormat="1" ht="30" customHeight="1" spans="2:11">
      <c r="B16" s="173" t="s">
        <v>21</v>
      </c>
      <c r="C16" s="174">
        <v>81250968</v>
      </c>
      <c r="D16" s="119"/>
      <c r="E16" s="174">
        <v>6500998.02</v>
      </c>
      <c r="F16" s="174">
        <v>6481051.64</v>
      </c>
      <c r="G16" s="174">
        <v>6473582.73</v>
      </c>
      <c r="H16" s="174">
        <v>6428175.56</v>
      </c>
      <c r="I16" s="174">
        <v>6446217.76</v>
      </c>
      <c r="J16" s="174">
        <v>6496474.47</v>
      </c>
      <c r="K16" s="174">
        <f t="shared" si="1"/>
        <v>38826500.18</v>
      </c>
    </row>
    <row r="17" s="10" customFormat="1" ht="30" customHeight="1" spans="2:11">
      <c r="B17" s="171" t="s">
        <v>22</v>
      </c>
      <c r="C17" s="172">
        <f t="shared" ref="C17:J17" si="2">SUM(C18:C26)</f>
        <v>1388394932</v>
      </c>
      <c r="D17" s="172">
        <f t="shared" si="2"/>
        <v>-19799559</v>
      </c>
      <c r="E17" s="187">
        <f t="shared" si="2"/>
        <v>15613688.84</v>
      </c>
      <c r="F17" s="187">
        <f t="shared" si="2"/>
        <v>29208873.03</v>
      </c>
      <c r="G17" s="187">
        <f t="shared" si="2"/>
        <v>31034093.85</v>
      </c>
      <c r="H17" s="187">
        <f t="shared" si="2"/>
        <v>34834593.25</v>
      </c>
      <c r="I17" s="187">
        <f t="shared" si="2"/>
        <v>27356139.81</v>
      </c>
      <c r="J17" s="187">
        <f t="shared" si="2"/>
        <v>48483999.32</v>
      </c>
      <c r="K17" s="187">
        <f>+K18+K19+K20+K21+K22+K23+K24+K25+K26</f>
        <v>186531388.1</v>
      </c>
    </row>
    <row r="18" s="10" customFormat="1" ht="30" customHeight="1" spans="2:11">
      <c r="B18" s="173" t="s">
        <v>23</v>
      </c>
      <c r="C18" s="174">
        <v>115058882</v>
      </c>
      <c r="D18" s="119"/>
      <c r="E18" s="174">
        <v>4494194.3</v>
      </c>
      <c r="F18" s="174">
        <v>6241970.47</v>
      </c>
      <c r="G18" s="174">
        <v>8366785.03</v>
      </c>
      <c r="H18" s="174">
        <v>7288949.9</v>
      </c>
      <c r="I18" s="174">
        <v>6190341.43</v>
      </c>
      <c r="J18" s="174">
        <v>10313191.18</v>
      </c>
      <c r="K18" s="174">
        <f>+E18+F18+H18+G18+I18+J18</f>
        <v>42895432.31</v>
      </c>
    </row>
    <row r="19" s="10" customFormat="1" ht="30" customHeight="1" spans="2:11">
      <c r="B19" s="173" t="s">
        <v>24</v>
      </c>
      <c r="C19" s="174">
        <v>832697380</v>
      </c>
      <c r="D19" s="119">
        <v>-52799559</v>
      </c>
      <c r="E19" s="174"/>
      <c r="F19" s="174">
        <v>60151.68</v>
      </c>
      <c r="G19" s="174">
        <v>951199.98</v>
      </c>
      <c r="H19" s="174">
        <v>1506590.88</v>
      </c>
      <c r="I19" s="174">
        <v>204957.66</v>
      </c>
      <c r="J19" s="174">
        <v>14903765.66</v>
      </c>
      <c r="K19" s="174">
        <f t="shared" ref="K19:K26" si="3">+E19+F19+H19+G19+I19+J19</f>
        <v>17626665.86</v>
      </c>
    </row>
    <row r="20" s="10" customFormat="1" ht="30" customHeight="1" spans="2:11">
      <c r="B20" s="173" t="s">
        <v>25</v>
      </c>
      <c r="C20" s="174">
        <v>33128670</v>
      </c>
      <c r="D20" s="119"/>
      <c r="E20" s="174">
        <v>48451.5</v>
      </c>
      <c r="F20" s="174">
        <v>505243.24</v>
      </c>
      <c r="G20" s="174">
        <v>260891.1</v>
      </c>
      <c r="H20" s="174">
        <v>1016289.04</v>
      </c>
      <c r="I20" s="174">
        <v>407341.05</v>
      </c>
      <c r="J20" s="174">
        <v>1253936.99</v>
      </c>
      <c r="K20" s="174">
        <f t="shared" si="3"/>
        <v>3492152.92</v>
      </c>
    </row>
    <row r="21" s="10" customFormat="1" ht="30" customHeight="1" spans="2:11">
      <c r="B21" s="173" t="s">
        <v>26</v>
      </c>
      <c r="C21" s="174">
        <v>5500000</v>
      </c>
      <c r="D21" s="119">
        <v>46200000</v>
      </c>
      <c r="E21" s="174"/>
      <c r="F21" s="174">
        <v>271317.85</v>
      </c>
      <c r="G21" s="174">
        <v>236836.59</v>
      </c>
      <c r="H21" s="174">
        <v>279300</v>
      </c>
      <c r="I21" s="174">
        <v>338100</v>
      </c>
      <c r="J21" s="174">
        <v>1227841.25</v>
      </c>
      <c r="K21" s="174">
        <f t="shared" si="3"/>
        <v>2353395.69</v>
      </c>
    </row>
    <row r="22" s="10" customFormat="1" ht="30" customHeight="1" spans="2:11">
      <c r="B22" s="173" t="s">
        <v>27</v>
      </c>
      <c r="C22" s="174">
        <v>158050000</v>
      </c>
      <c r="D22" s="119">
        <v>-925670.4</v>
      </c>
      <c r="E22" s="174">
        <v>9486708.09</v>
      </c>
      <c r="F22" s="174">
        <v>9794905.81</v>
      </c>
      <c r="G22" s="174">
        <v>9878478.81</v>
      </c>
      <c r="H22" s="174">
        <v>10548403.41</v>
      </c>
      <c r="I22" s="174">
        <v>9494683.41</v>
      </c>
      <c r="J22" s="174">
        <v>9974006.81</v>
      </c>
      <c r="K22" s="174">
        <f t="shared" si="3"/>
        <v>59177186.34</v>
      </c>
    </row>
    <row r="23" s="10" customFormat="1" ht="30" customHeight="1" spans="2:11">
      <c r="B23" s="173" t="s">
        <v>28</v>
      </c>
      <c r="C23" s="174">
        <v>82250000</v>
      </c>
      <c r="D23" s="174">
        <v>-17990000</v>
      </c>
      <c r="E23" s="174">
        <v>1584334.95</v>
      </c>
      <c r="F23" s="174">
        <v>1968402.46</v>
      </c>
      <c r="G23" s="174">
        <v>2662267.59</v>
      </c>
      <c r="H23" s="174">
        <v>2350245.4</v>
      </c>
      <c r="I23" s="174">
        <v>1624405.19</v>
      </c>
      <c r="J23" s="174">
        <v>2039263.07</v>
      </c>
      <c r="K23" s="174">
        <f t="shared" si="3"/>
        <v>12228918.66</v>
      </c>
    </row>
    <row r="24" s="10" customFormat="1" ht="46.5" customHeight="1" spans="2:11">
      <c r="B24" s="190" t="s">
        <v>29</v>
      </c>
      <c r="C24" s="174">
        <v>23050000</v>
      </c>
      <c r="D24" s="119">
        <v>6785870.4</v>
      </c>
      <c r="E24" s="174"/>
      <c r="F24" s="174">
        <v>83466.07</v>
      </c>
      <c r="G24" s="174">
        <v>285586.25</v>
      </c>
      <c r="H24" s="174">
        <v>3795255.17</v>
      </c>
      <c r="I24" s="174">
        <v>2018949.17</v>
      </c>
      <c r="J24" s="174">
        <v>1579159.09</v>
      </c>
      <c r="K24" s="174">
        <f t="shared" si="3"/>
        <v>7762415.75</v>
      </c>
    </row>
    <row r="25" s="10" customFormat="1" ht="45" customHeight="1" spans="2:11">
      <c r="B25" s="190" t="s">
        <v>30</v>
      </c>
      <c r="C25" s="174">
        <v>48160000</v>
      </c>
      <c r="D25" s="174">
        <v>-2070200</v>
      </c>
      <c r="E25" s="174"/>
      <c r="F25" s="174">
        <v>9010</v>
      </c>
      <c r="G25" s="174">
        <v>1607443</v>
      </c>
      <c r="H25" s="174">
        <v>560967.01</v>
      </c>
      <c r="I25" s="174">
        <v>690245</v>
      </c>
      <c r="J25" s="174">
        <v>666380.87</v>
      </c>
      <c r="K25" s="174">
        <f t="shared" si="3"/>
        <v>3534045.88</v>
      </c>
    </row>
    <row r="26" s="10" customFormat="1" ht="30" customHeight="1" spans="2:11">
      <c r="B26" s="173" t="s">
        <v>31</v>
      </c>
      <c r="C26" s="174">
        <v>90500000</v>
      </c>
      <c r="D26" s="119">
        <v>1000000</v>
      </c>
      <c r="E26" s="174"/>
      <c r="F26" s="174">
        <v>10274405.45</v>
      </c>
      <c r="G26" s="174">
        <v>6784605.5</v>
      </c>
      <c r="H26" s="174">
        <v>7488592.44</v>
      </c>
      <c r="I26" s="174">
        <v>6387116.9</v>
      </c>
      <c r="J26" s="174">
        <v>6526454.4</v>
      </c>
      <c r="K26" s="174">
        <f t="shared" si="3"/>
        <v>37461174.69</v>
      </c>
    </row>
    <row r="27" s="10" customFormat="1" ht="30" customHeight="1" spans="2:11">
      <c r="B27" s="171" t="s">
        <v>32</v>
      </c>
      <c r="C27" s="172">
        <f t="shared" ref="C27:J27" si="4">SUM(C28:C36)</f>
        <v>77440000</v>
      </c>
      <c r="D27" s="172">
        <f t="shared" si="4"/>
        <v>-3500000</v>
      </c>
      <c r="E27" s="172">
        <f t="shared" si="4"/>
        <v>0</v>
      </c>
      <c r="F27" s="172">
        <f t="shared" si="4"/>
        <v>6959499.12</v>
      </c>
      <c r="G27" s="172">
        <f t="shared" si="4"/>
        <v>5402789.48</v>
      </c>
      <c r="H27" s="172">
        <f t="shared" si="4"/>
        <v>2754821.2</v>
      </c>
      <c r="I27" s="172">
        <f t="shared" si="4"/>
        <v>3687862.88</v>
      </c>
      <c r="J27" s="172">
        <f t="shared" si="4"/>
        <v>4190267.84</v>
      </c>
      <c r="K27" s="187">
        <f>+K28+K33+K34+K36+K31+K32+K30</f>
        <v>22995240.52</v>
      </c>
    </row>
    <row r="28" s="10" customFormat="1" ht="30" customHeight="1" spans="2:11">
      <c r="B28" s="173" t="s">
        <v>33</v>
      </c>
      <c r="C28" s="174">
        <v>5600000</v>
      </c>
      <c r="D28" s="119"/>
      <c r="E28" s="174"/>
      <c r="F28" s="174">
        <v>49500</v>
      </c>
      <c r="G28" s="174">
        <v>20570</v>
      </c>
      <c r="H28" s="174">
        <v>70125</v>
      </c>
      <c r="I28" s="174">
        <v>572782</v>
      </c>
      <c r="J28" s="174">
        <v>10450</v>
      </c>
      <c r="K28" s="174">
        <f>+E28+F28+H28+G28+I28+J28</f>
        <v>723427</v>
      </c>
    </row>
    <row r="29" s="10" customFormat="1" ht="30" customHeight="1" spans="2:11">
      <c r="B29" s="173" t="s">
        <v>34</v>
      </c>
      <c r="C29" s="174">
        <v>6850000</v>
      </c>
      <c r="D29" s="119">
        <v>-1500000</v>
      </c>
      <c r="E29" s="174"/>
      <c r="F29" s="174"/>
      <c r="G29" s="174"/>
      <c r="H29" s="174"/>
      <c r="I29" s="174"/>
      <c r="J29" s="174"/>
      <c r="K29" s="174">
        <f t="shared" ref="K29:K36" si="5">+E29+F29+H29+G29+I29+J29</f>
        <v>0</v>
      </c>
    </row>
    <row r="30" s="10" customFormat="1" ht="30" customHeight="1" spans="2:11">
      <c r="B30" s="173" t="s">
        <v>35</v>
      </c>
      <c r="C30" s="174">
        <v>2750000</v>
      </c>
      <c r="D30" s="119">
        <v>700000</v>
      </c>
      <c r="E30" s="174"/>
      <c r="F30" s="174"/>
      <c r="G30" s="174"/>
      <c r="H30" s="174">
        <v>1216816</v>
      </c>
      <c r="I30" s="174"/>
      <c r="J30" s="174">
        <v>272574.94</v>
      </c>
      <c r="K30" s="174">
        <f t="shared" si="5"/>
        <v>1489390.94</v>
      </c>
    </row>
    <row r="31" s="10" customFormat="1" ht="30" customHeight="1" spans="2:11">
      <c r="B31" s="173" t="s">
        <v>36</v>
      </c>
      <c r="C31" s="174">
        <v>500000</v>
      </c>
      <c r="D31" s="119"/>
      <c r="E31" s="174"/>
      <c r="F31" s="174"/>
      <c r="G31" s="174"/>
      <c r="H31" s="174"/>
      <c r="I31" s="174">
        <v>0</v>
      </c>
      <c r="J31" s="174">
        <v>3564</v>
      </c>
      <c r="K31" s="174">
        <f t="shared" si="5"/>
        <v>3564</v>
      </c>
    </row>
    <row r="32" s="10" customFormat="1" ht="30" customHeight="1" spans="2:11">
      <c r="B32" s="173" t="s">
        <v>37</v>
      </c>
      <c r="C32" s="174">
        <v>1315000</v>
      </c>
      <c r="D32" s="119"/>
      <c r="E32" s="174"/>
      <c r="F32" s="174"/>
      <c r="G32" s="174">
        <v>94659.43</v>
      </c>
      <c r="I32" s="174">
        <v>299726.04</v>
      </c>
      <c r="J32" s="174">
        <v>35300</v>
      </c>
      <c r="K32" s="174">
        <f t="shared" si="5"/>
        <v>429685.47</v>
      </c>
    </row>
    <row r="33" s="10" customFormat="1" ht="30" customHeight="1" spans="2:11">
      <c r="B33" s="173" t="s">
        <v>38</v>
      </c>
      <c r="C33" s="174">
        <v>620000</v>
      </c>
      <c r="D33" s="119">
        <v>4000</v>
      </c>
      <c r="E33" s="174"/>
      <c r="F33" s="174"/>
      <c r="G33" s="174"/>
      <c r="H33" s="174">
        <v>10336.8</v>
      </c>
      <c r="I33" s="174">
        <v>40149.5</v>
      </c>
      <c r="J33" s="174">
        <v>25036.33</v>
      </c>
      <c r="K33" s="174">
        <f t="shared" si="5"/>
        <v>75522.63</v>
      </c>
    </row>
    <row r="34" s="10" customFormat="1" ht="43.5" customHeight="1" spans="2:11">
      <c r="B34" s="190" t="s">
        <v>39</v>
      </c>
      <c r="C34" s="174">
        <v>16355000</v>
      </c>
      <c r="D34" s="119"/>
      <c r="E34" s="174"/>
      <c r="F34" s="174">
        <v>2066010.3</v>
      </c>
      <c r="G34" s="174">
        <v>1185945.52</v>
      </c>
      <c r="H34" s="174">
        <v>1362423.6</v>
      </c>
      <c r="I34" s="174">
        <v>659186.38</v>
      </c>
      <c r="J34" s="174">
        <v>1118329.35</v>
      </c>
      <c r="K34" s="174">
        <f t="shared" si="5"/>
        <v>6391895.15</v>
      </c>
    </row>
    <row r="35" s="10" customFormat="1" ht="46.5" customHeight="1" spans="2:11">
      <c r="B35" s="190" t="s">
        <v>40</v>
      </c>
      <c r="C35" s="174"/>
      <c r="D35" s="119"/>
      <c r="E35" s="174"/>
      <c r="F35" s="174"/>
      <c r="G35" s="174"/>
      <c r="H35" s="174"/>
      <c r="I35" s="174"/>
      <c r="J35" s="174"/>
      <c r="K35" s="174">
        <f t="shared" si="5"/>
        <v>0</v>
      </c>
    </row>
    <row r="36" s="10" customFormat="1" ht="30" customHeight="1" spans="2:11">
      <c r="B36" s="173" t="s">
        <v>41</v>
      </c>
      <c r="C36" s="174">
        <v>43450000</v>
      </c>
      <c r="D36" s="119">
        <v>-2704000</v>
      </c>
      <c r="E36" s="174"/>
      <c r="F36" s="174">
        <v>4843988.82</v>
      </c>
      <c r="G36" s="174">
        <v>4101614.53</v>
      </c>
      <c r="H36" s="174">
        <v>95119.8</v>
      </c>
      <c r="I36" s="174">
        <v>2116018.96</v>
      </c>
      <c r="J36" s="174">
        <v>2725013.22</v>
      </c>
      <c r="K36" s="174">
        <f t="shared" si="5"/>
        <v>13881755.33</v>
      </c>
    </row>
    <row r="37" s="10" customFormat="1" ht="30" customHeight="1" spans="2:11">
      <c r="B37" s="171" t="s">
        <v>42</v>
      </c>
      <c r="C37" s="172">
        <f>SUM(C38:C43)</f>
        <v>0</v>
      </c>
      <c r="D37" s="172">
        <f>SUM(D38:D45)</f>
        <v>2000000</v>
      </c>
      <c r="E37" s="172">
        <f t="shared" ref="E37:F37" si="6">SUM(E38:E43)</f>
        <v>0</v>
      </c>
      <c r="F37" s="172">
        <f t="shared" si="6"/>
        <v>0</v>
      </c>
      <c r="G37" s="172">
        <f>SUM(G38:G45)</f>
        <v>1019398.13</v>
      </c>
      <c r="H37" s="172">
        <f>SUM(H38:H45)</f>
        <v>186095</v>
      </c>
      <c r="I37" s="172">
        <f>SUM(I38:I45)</f>
        <v>188235.3</v>
      </c>
      <c r="J37" s="172">
        <f>SUM(J38:J45)</f>
        <v>82592</v>
      </c>
      <c r="K37" s="187">
        <f>+K38+K40+K41+K42+K43+K44</f>
        <v>1476320.43</v>
      </c>
    </row>
    <row r="38" s="10" customFormat="1" ht="30" customHeight="1" spans="2:11">
      <c r="B38" s="173" t="s">
        <v>43</v>
      </c>
      <c r="C38" s="174"/>
      <c r="D38" s="119">
        <v>995000</v>
      </c>
      <c r="E38" s="174"/>
      <c r="F38" s="174"/>
      <c r="G38" s="174">
        <v>51595.62</v>
      </c>
      <c r="H38" s="174">
        <v>186095</v>
      </c>
      <c r="I38" s="174">
        <v>188235.3</v>
      </c>
      <c r="J38" s="174">
        <v>82592</v>
      </c>
      <c r="K38" s="174">
        <f>+E38+F38+H38+G38+I38+J38</f>
        <v>508517.92</v>
      </c>
    </row>
    <row r="39" s="10" customFormat="1" ht="47.25" customHeight="1" spans="2:11">
      <c r="B39" s="190" t="s">
        <v>44</v>
      </c>
      <c r="C39" s="174"/>
      <c r="D39" s="119"/>
      <c r="E39" s="174"/>
      <c r="F39" s="174"/>
      <c r="G39" s="174"/>
      <c r="H39" s="174"/>
      <c r="I39" s="174"/>
      <c r="J39" s="174"/>
      <c r="K39" s="174">
        <f t="shared" ref="K39:K45" si="7">+E39+F39+H39+G39+I39+J39</f>
        <v>0</v>
      </c>
    </row>
    <row r="40" s="10" customFormat="1" ht="51" customHeight="1" spans="2:11">
      <c r="B40" s="190" t="s">
        <v>45</v>
      </c>
      <c r="C40" s="174"/>
      <c r="D40" s="119"/>
      <c r="E40" s="174"/>
      <c r="F40" s="174"/>
      <c r="G40" s="174"/>
      <c r="H40" s="174"/>
      <c r="I40" s="172"/>
      <c r="J40" s="172"/>
      <c r="K40" s="174">
        <f t="shared" si="7"/>
        <v>0</v>
      </c>
    </row>
    <row r="41" s="10" customFormat="1" ht="50.25" customHeight="1" spans="2:11">
      <c r="B41" s="190" t="s">
        <v>46</v>
      </c>
      <c r="C41" s="174"/>
      <c r="D41" s="119"/>
      <c r="E41" s="174"/>
      <c r="F41" s="174"/>
      <c r="G41" s="174"/>
      <c r="H41" s="174"/>
      <c r="I41" s="174"/>
      <c r="J41" s="174"/>
      <c r="K41" s="174">
        <f t="shared" si="7"/>
        <v>0</v>
      </c>
    </row>
    <row r="42" s="10" customFormat="1" ht="47.25" customHeight="1" spans="2:11">
      <c r="B42" s="190" t="s">
        <v>47</v>
      </c>
      <c r="C42" s="174"/>
      <c r="D42" s="119"/>
      <c r="E42" s="174"/>
      <c r="F42" s="174"/>
      <c r="G42" s="174"/>
      <c r="H42" s="174"/>
      <c r="I42" s="174"/>
      <c r="J42" s="174"/>
      <c r="K42" s="174">
        <f t="shared" si="7"/>
        <v>0</v>
      </c>
    </row>
    <row r="43" s="10" customFormat="1" ht="30" customHeight="1" spans="2:11">
      <c r="B43" s="190" t="s">
        <v>48</v>
      </c>
      <c r="C43" s="174"/>
      <c r="D43" s="119"/>
      <c r="E43" s="174"/>
      <c r="F43" s="174"/>
      <c r="G43" s="174"/>
      <c r="H43" s="174"/>
      <c r="I43" s="174"/>
      <c r="J43" s="174"/>
      <c r="K43" s="174">
        <f t="shared" si="7"/>
        <v>0</v>
      </c>
    </row>
    <row r="44" s="10" customFormat="1" ht="30" customHeight="1" spans="2:11">
      <c r="B44" s="173" t="s">
        <v>49</v>
      </c>
      <c r="C44" s="174"/>
      <c r="D44" s="119">
        <v>1005000</v>
      </c>
      <c r="E44" s="174"/>
      <c r="F44" s="174"/>
      <c r="G44" s="174">
        <v>967802.51</v>
      </c>
      <c r="H44" s="174">
        <v>0</v>
      </c>
      <c r="I44" s="174">
        <v>0</v>
      </c>
      <c r="J44" s="174">
        <v>0</v>
      </c>
      <c r="K44" s="174">
        <f t="shared" si="7"/>
        <v>967802.51</v>
      </c>
    </row>
    <row r="45" s="10" customFormat="1" ht="48.75" customHeight="1" spans="2:11">
      <c r="B45" s="190" t="s">
        <v>50</v>
      </c>
      <c r="C45" s="172">
        <f>SUM(C46:C51)</f>
        <v>0</v>
      </c>
      <c r="D45" s="119"/>
      <c r="E45" s="174"/>
      <c r="F45" s="174"/>
      <c r="G45" s="174"/>
      <c r="H45" s="174"/>
      <c r="I45" s="174"/>
      <c r="J45" s="174"/>
      <c r="K45" s="174">
        <f t="shared" si="7"/>
        <v>0</v>
      </c>
    </row>
    <row r="46" s="10" customFormat="1" ht="30" customHeight="1" spans="2:11">
      <c r="B46" s="171" t="s">
        <v>51</v>
      </c>
      <c r="C46" s="174"/>
      <c r="D46" s="120"/>
      <c r="E46" s="174"/>
      <c r="F46" s="174"/>
      <c r="G46" s="174"/>
      <c r="H46" s="174"/>
      <c r="I46" s="174"/>
      <c r="J46" s="174"/>
      <c r="K46" s="174">
        <f t="shared" ref="K46:K51" si="8">+E46+F46+H46+G46+I46</f>
        <v>0</v>
      </c>
    </row>
    <row r="47" s="10" customFormat="1" ht="47.25" customHeight="1" spans="2:11">
      <c r="B47" s="190" t="s">
        <v>52</v>
      </c>
      <c r="C47" s="174"/>
      <c r="D47" s="119"/>
      <c r="E47" s="174"/>
      <c r="F47" s="174"/>
      <c r="G47" s="174"/>
      <c r="H47" s="174"/>
      <c r="I47" s="174"/>
      <c r="J47" s="174"/>
      <c r="K47" s="174">
        <f t="shared" si="8"/>
        <v>0</v>
      </c>
    </row>
    <row r="48" s="10" customFormat="1" ht="46.5" customHeight="1" spans="2:11">
      <c r="B48" s="190" t="s">
        <v>53</v>
      </c>
      <c r="C48" s="174"/>
      <c r="D48" s="119"/>
      <c r="E48" s="174"/>
      <c r="F48" s="174"/>
      <c r="G48" s="174"/>
      <c r="H48" s="174"/>
      <c r="I48" s="174"/>
      <c r="J48" s="174"/>
      <c r="K48" s="174">
        <f t="shared" si="8"/>
        <v>0</v>
      </c>
    </row>
    <row r="49" s="10" customFormat="1" ht="51" customHeight="1" spans="2:11">
      <c r="B49" s="190" t="s">
        <v>54</v>
      </c>
      <c r="C49" s="174"/>
      <c r="D49" s="121"/>
      <c r="E49" s="174"/>
      <c r="F49" s="174"/>
      <c r="G49" s="174"/>
      <c r="H49" s="174"/>
      <c r="I49" s="174"/>
      <c r="J49" s="174"/>
      <c r="K49" s="174">
        <f t="shared" si="8"/>
        <v>0</v>
      </c>
    </row>
    <row r="50" s="10" customFormat="1" ht="30" customHeight="1" spans="2:11">
      <c r="B50" s="173" t="s">
        <v>55</v>
      </c>
      <c r="C50" s="174"/>
      <c r="D50" s="119"/>
      <c r="E50" s="174"/>
      <c r="F50" s="174"/>
      <c r="G50" s="174"/>
      <c r="H50" s="174"/>
      <c r="I50" s="174"/>
      <c r="J50" s="174"/>
      <c r="K50" s="174">
        <f t="shared" si="8"/>
        <v>0</v>
      </c>
    </row>
    <row r="51" s="10" customFormat="1" ht="48.75" customHeight="1" spans="2:11">
      <c r="B51" s="190" t="s">
        <v>56</v>
      </c>
      <c r="C51" s="174"/>
      <c r="D51" s="119"/>
      <c r="E51" s="174"/>
      <c r="F51" s="174"/>
      <c r="G51" s="174"/>
      <c r="H51" s="174"/>
      <c r="I51" s="174"/>
      <c r="J51" s="174"/>
      <c r="K51" s="174">
        <f t="shared" si="8"/>
        <v>0</v>
      </c>
    </row>
    <row r="52" s="10" customFormat="1" ht="30" customHeight="1" spans="2:11">
      <c r="B52" s="171" t="s">
        <v>57</v>
      </c>
      <c r="C52" s="172">
        <f t="shared" ref="C52:J52" si="9">SUM(C53:C61)</f>
        <v>136600000</v>
      </c>
      <c r="D52" s="172">
        <f t="shared" si="9"/>
        <v>10000000</v>
      </c>
      <c r="E52" s="172">
        <f t="shared" si="9"/>
        <v>0</v>
      </c>
      <c r="F52" s="172">
        <f t="shared" si="9"/>
        <v>0</v>
      </c>
      <c r="G52" s="172">
        <f t="shared" si="9"/>
        <v>1823715.96</v>
      </c>
      <c r="H52" s="172">
        <f t="shared" si="9"/>
        <v>580558.46</v>
      </c>
      <c r="I52" s="172">
        <f t="shared" si="9"/>
        <v>951310.1</v>
      </c>
      <c r="J52" s="172">
        <f t="shared" si="9"/>
        <v>5376470.98</v>
      </c>
      <c r="K52" s="187">
        <f>+K53+K54+K55+K56+K57+K58+K59+K60+K61</f>
        <v>8732055.5</v>
      </c>
    </row>
    <row r="53" s="10" customFormat="1" ht="30" customHeight="1" spans="2:11">
      <c r="B53" s="173" t="s">
        <v>58</v>
      </c>
      <c r="C53" s="174">
        <v>35200000</v>
      </c>
      <c r="D53" s="99">
        <v>-7550000</v>
      </c>
      <c r="E53" s="174"/>
      <c r="F53" s="174"/>
      <c r="G53" s="174">
        <v>83215.96</v>
      </c>
      <c r="H53" s="174">
        <v>84717.86</v>
      </c>
      <c r="I53" s="174">
        <v>0</v>
      </c>
      <c r="J53" s="174">
        <v>1329870.98</v>
      </c>
      <c r="K53" s="174">
        <f>+E53+F53+H53+G53+I53+J53</f>
        <v>1497804.8</v>
      </c>
    </row>
    <row r="54" s="10" customFormat="1" ht="43.5" customHeight="1" spans="2:11">
      <c r="B54" s="190" t="s">
        <v>59</v>
      </c>
      <c r="C54" s="174">
        <v>1400000</v>
      </c>
      <c r="D54" s="119"/>
      <c r="E54" s="174"/>
      <c r="F54" s="174"/>
      <c r="G54" s="174"/>
      <c r="H54" s="174"/>
      <c r="I54" s="174"/>
      <c r="J54" s="174"/>
      <c r="K54" s="174">
        <f t="shared" ref="K54:K61" si="10">+E54+F54+H54+G54+I54+J54</f>
        <v>0</v>
      </c>
    </row>
    <row r="55" s="10" customFormat="1" ht="30" customHeight="1" spans="2:11">
      <c r="B55" s="173" t="s">
        <v>60</v>
      </c>
      <c r="C55" s="174">
        <v>250000</v>
      </c>
      <c r="D55" s="119">
        <v>250000</v>
      </c>
      <c r="E55" s="174"/>
      <c r="F55" s="174"/>
      <c r="G55" s="174"/>
      <c r="H55" s="174">
        <v>248007.09</v>
      </c>
      <c r="I55" s="174"/>
      <c r="J55" s="174"/>
      <c r="K55" s="174">
        <f t="shared" si="10"/>
        <v>248007.09</v>
      </c>
    </row>
    <row r="56" s="10" customFormat="1" ht="48.75" customHeight="1" spans="2:11">
      <c r="B56" s="190" t="s">
        <v>61</v>
      </c>
      <c r="C56" s="174">
        <v>34750000</v>
      </c>
      <c r="D56" s="119"/>
      <c r="E56" s="174"/>
      <c r="F56" s="174"/>
      <c r="G56" s="174"/>
      <c r="H56" s="174"/>
      <c r="I56" s="174"/>
      <c r="J56" s="174"/>
      <c r="K56" s="174">
        <f t="shared" si="10"/>
        <v>0</v>
      </c>
    </row>
    <row r="57" s="10" customFormat="1" ht="30" customHeight="1" spans="2:11">
      <c r="B57" s="173" t="s">
        <v>62</v>
      </c>
      <c r="C57" s="174">
        <v>4500000</v>
      </c>
      <c r="D57" s="119">
        <v>7300000</v>
      </c>
      <c r="E57" s="174"/>
      <c r="F57" s="174"/>
      <c r="G57" s="174"/>
      <c r="H57" s="174"/>
      <c r="I57" s="174"/>
      <c r="J57" s="174"/>
      <c r="K57" s="174">
        <f t="shared" si="10"/>
        <v>0</v>
      </c>
    </row>
    <row r="58" s="10" customFormat="1" ht="30" customHeight="1" spans="2:11">
      <c r="B58" s="173" t="s">
        <v>63</v>
      </c>
      <c r="C58" s="174">
        <v>5000000</v>
      </c>
      <c r="D58" s="119"/>
      <c r="E58" s="174"/>
      <c r="F58" s="174"/>
      <c r="G58" s="174"/>
      <c r="H58" s="174">
        <v>247833.51</v>
      </c>
      <c r="I58" s="174">
        <v>951310.1</v>
      </c>
      <c r="J58" s="174">
        <v>4046600</v>
      </c>
      <c r="K58" s="174">
        <f t="shared" si="10"/>
        <v>5245743.61</v>
      </c>
    </row>
    <row r="59" s="10" customFormat="1" ht="30" customHeight="1" spans="2:11">
      <c r="B59" s="173" t="s">
        <v>64</v>
      </c>
      <c r="C59" s="174"/>
      <c r="D59" s="119"/>
      <c r="E59" s="174"/>
      <c r="F59" s="174"/>
      <c r="G59" s="174"/>
      <c r="H59" s="174"/>
      <c r="I59" s="174"/>
      <c r="J59" s="174"/>
      <c r="K59" s="174">
        <f t="shared" si="10"/>
        <v>0</v>
      </c>
    </row>
    <row r="60" s="10" customFormat="1" ht="30" customHeight="1" spans="2:11">
      <c r="B60" s="173" t="s">
        <v>65</v>
      </c>
      <c r="C60" s="174">
        <v>5000000</v>
      </c>
      <c r="D60" s="119"/>
      <c r="E60" s="174"/>
      <c r="F60" s="174"/>
      <c r="G60" s="174">
        <v>1740500</v>
      </c>
      <c r="H60" s="174">
        <v>0</v>
      </c>
      <c r="I60" s="174">
        <v>0</v>
      </c>
      <c r="J60" s="174">
        <v>0</v>
      </c>
      <c r="K60" s="174">
        <f t="shared" si="10"/>
        <v>1740500</v>
      </c>
    </row>
    <row r="61" s="10" customFormat="1" ht="42.75" customHeight="1" spans="2:11">
      <c r="B61" s="190" t="s">
        <v>66</v>
      </c>
      <c r="C61" s="174">
        <v>50500000</v>
      </c>
      <c r="D61" s="119">
        <v>10000000</v>
      </c>
      <c r="E61" s="174"/>
      <c r="F61" s="174"/>
      <c r="K61" s="174">
        <f t="shared" si="10"/>
        <v>0</v>
      </c>
    </row>
    <row r="62" s="10" customFormat="1" ht="30" customHeight="1" spans="2:11">
      <c r="B62" s="171" t="s">
        <v>67</v>
      </c>
      <c r="C62" s="172">
        <f t="shared" ref="C62:J62" si="11">SUM(C63:C65)</f>
        <v>35000000</v>
      </c>
      <c r="D62" s="172">
        <f t="shared" si="11"/>
        <v>0</v>
      </c>
      <c r="E62" s="174">
        <f t="shared" si="11"/>
        <v>0</v>
      </c>
      <c r="F62" s="174">
        <f t="shared" si="11"/>
        <v>0</v>
      </c>
      <c r="G62" s="172">
        <f t="shared" si="11"/>
        <v>8954332.22</v>
      </c>
      <c r="H62" s="172">
        <f t="shared" si="11"/>
        <v>0</v>
      </c>
      <c r="I62" s="172">
        <f t="shared" si="11"/>
        <v>0</v>
      </c>
      <c r="J62" s="172">
        <f t="shared" si="11"/>
        <v>3143407</v>
      </c>
      <c r="K62" s="172">
        <f>+K63+K64+K65+K66</f>
        <v>12097739.22</v>
      </c>
    </row>
    <row r="63" s="10" customFormat="1" ht="30" customHeight="1" spans="2:11">
      <c r="B63" s="173" t="s">
        <v>68</v>
      </c>
      <c r="C63" s="174">
        <v>35000000</v>
      </c>
      <c r="D63" s="99"/>
      <c r="E63" s="174"/>
      <c r="F63" s="174"/>
      <c r="G63" s="174">
        <v>8954332.22</v>
      </c>
      <c r="H63" s="174">
        <v>0</v>
      </c>
      <c r="I63" s="174">
        <v>0</v>
      </c>
      <c r="J63" s="174">
        <v>3143407</v>
      </c>
      <c r="K63" s="174">
        <f>+E63+F63+H63+G63+I63+J63</f>
        <v>12097739.22</v>
      </c>
    </row>
    <row r="64" s="10" customFormat="1" ht="30" customHeight="1" spans="2:11">
      <c r="B64" s="173" t="s">
        <v>69</v>
      </c>
      <c r="C64" s="174"/>
      <c r="D64" s="119"/>
      <c r="E64" s="174"/>
      <c r="F64" s="174"/>
      <c r="G64" s="174"/>
      <c r="H64" s="174"/>
      <c r="I64" s="174"/>
      <c r="J64" s="174"/>
      <c r="K64" s="174">
        <f t="shared" ref="K64:K77" si="12">+E64+F64+H64+G64+I64+J64</f>
        <v>0</v>
      </c>
    </row>
    <row r="65" s="10" customFormat="1" ht="30" customHeight="1" spans="2:11">
      <c r="B65" s="173" t="s">
        <v>70</v>
      </c>
      <c r="C65" s="174"/>
      <c r="D65" s="119"/>
      <c r="E65" s="174"/>
      <c r="F65" s="174"/>
      <c r="G65" s="174"/>
      <c r="H65" s="174"/>
      <c r="I65" s="174"/>
      <c r="J65" s="174"/>
      <c r="K65" s="174">
        <f t="shared" si="12"/>
        <v>0</v>
      </c>
    </row>
    <row r="66" s="10" customFormat="1" ht="48.75" customHeight="1" spans="2:11">
      <c r="B66" s="190" t="s">
        <v>71</v>
      </c>
      <c r="C66" s="174"/>
      <c r="D66" s="119"/>
      <c r="E66" s="174"/>
      <c r="F66" s="174"/>
      <c r="G66" s="174"/>
      <c r="H66" s="174"/>
      <c r="I66" s="174"/>
      <c r="J66" s="174"/>
      <c r="K66" s="174">
        <f t="shared" si="12"/>
        <v>0</v>
      </c>
    </row>
    <row r="67" s="10" customFormat="1" ht="42.75" customHeight="1" spans="2:11">
      <c r="B67" s="192" t="s">
        <v>72</v>
      </c>
      <c r="C67" s="172"/>
      <c r="D67" s="119"/>
      <c r="E67" s="174"/>
      <c r="F67" s="174"/>
      <c r="G67" s="174"/>
      <c r="H67" s="174"/>
      <c r="I67" s="174"/>
      <c r="J67" s="174"/>
      <c r="K67" s="174">
        <f t="shared" si="12"/>
        <v>0</v>
      </c>
    </row>
    <row r="68" s="10" customFormat="1" ht="30" customHeight="1" spans="2:11">
      <c r="B68" s="173" t="s">
        <v>73</v>
      </c>
      <c r="C68" s="174"/>
      <c r="D68" s="120"/>
      <c r="E68" s="174"/>
      <c r="F68" s="174"/>
      <c r="G68" s="174"/>
      <c r="H68" s="174"/>
      <c r="I68" s="174"/>
      <c r="J68" s="174"/>
      <c r="K68" s="174">
        <f t="shared" si="12"/>
        <v>0</v>
      </c>
    </row>
    <row r="69" s="10" customFormat="1" ht="47.25" customHeight="1" spans="2:11">
      <c r="B69" s="190" t="s">
        <v>74</v>
      </c>
      <c r="C69" s="174"/>
      <c r="D69" s="119"/>
      <c r="E69" s="174"/>
      <c r="F69" s="174"/>
      <c r="G69" s="174"/>
      <c r="H69" s="174"/>
      <c r="I69" s="174"/>
      <c r="J69" s="174"/>
      <c r="K69" s="174">
        <f t="shared" si="12"/>
        <v>0</v>
      </c>
    </row>
    <row r="70" s="10" customFormat="1" ht="30" customHeight="1" spans="2:11">
      <c r="B70" s="171" t="s">
        <v>75</v>
      </c>
      <c r="C70" s="172">
        <f>SUM(C71:C73)</f>
        <v>0</v>
      </c>
      <c r="D70" s="119"/>
      <c r="E70" s="174"/>
      <c r="F70" s="174"/>
      <c r="G70" s="174"/>
      <c r="H70" s="174"/>
      <c r="I70" s="174"/>
      <c r="J70" s="174"/>
      <c r="K70" s="174">
        <f t="shared" si="12"/>
        <v>0</v>
      </c>
    </row>
    <row r="71" s="10" customFormat="1" ht="30" customHeight="1" spans="2:11">
      <c r="B71" s="173" t="s">
        <v>76</v>
      </c>
      <c r="C71" s="174"/>
      <c r="D71" s="120"/>
      <c r="E71" s="174"/>
      <c r="F71" s="174"/>
      <c r="G71" s="174"/>
      <c r="H71" s="174"/>
      <c r="I71" s="174"/>
      <c r="J71" s="174"/>
      <c r="K71" s="174">
        <f t="shared" si="12"/>
        <v>0</v>
      </c>
    </row>
    <row r="72" s="10" customFormat="1" ht="30" customHeight="1" spans="2:11">
      <c r="B72" s="173" t="s">
        <v>77</v>
      </c>
      <c r="C72" s="174"/>
      <c r="D72" s="119"/>
      <c r="E72" s="174"/>
      <c r="F72" s="174"/>
      <c r="G72" s="174"/>
      <c r="H72" s="174"/>
      <c r="I72" s="174"/>
      <c r="J72" s="174"/>
      <c r="K72" s="174">
        <f t="shared" si="12"/>
        <v>0</v>
      </c>
    </row>
    <row r="73" s="10" customFormat="1" ht="42.75" customHeight="1" spans="2:11">
      <c r="B73" s="190" t="s">
        <v>78</v>
      </c>
      <c r="C73" s="174"/>
      <c r="D73" s="119"/>
      <c r="E73" s="174"/>
      <c r="F73" s="174"/>
      <c r="G73" s="174"/>
      <c r="H73" s="174"/>
      <c r="I73" s="174"/>
      <c r="J73" s="174"/>
      <c r="K73" s="174">
        <f t="shared" si="12"/>
        <v>0</v>
      </c>
    </row>
    <row r="74" s="10" customFormat="1" ht="30" customHeight="1" spans="2:11">
      <c r="B74" s="171" t="s">
        <v>79</v>
      </c>
      <c r="C74" s="193"/>
      <c r="D74" s="119"/>
      <c r="E74" s="174"/>
      <c r="F74" s="174"/>
      <c r="G74" s="174"/>
      <c r="H74" s="174"/>
      <c r="I74" s="174"/>
      <c r="J74" s="174"/>
      <c r="K74" s="174">
        <f t="shared" si="12"/>
        <v>0</v>
      </c>
    </row>
    <row r="75" s="10" customFormat="1" ht="30" customHeight="1" spans="2:11">
      <c r="B75" s="171" t="s">
        <v>80</v>
      </c>
      <c r="C75" s="193"/>
      <c r="D75" s="120"/>
      <c r="E75" s="174"/>
      <c r="F75" s="174"/>
      <c r="G75" s="174"/>
      <c r="H75" s="174"/>
      <c r="I75" s="174"/>
      <c r="J75" s="174"/>
      <c r="K75" s="174">
        <f t="shared" si="12"/>
        <v>0</v>
      </c>
    </row>
    <row r="76" s="10" customFormat="1" ht="30" customHeight="1" spans="2:11">
      <c r="B76" s="173" t="s">
        <v>81</v>
      </c>
      <c r="C76" s="194"/>
      <c r="D76" s="120"/>
      <c r="E76" s="174"/>
      <c r="F76" s="174"/>
      <c r="G76" s="174"/>
      <c r="H76" s="174"/>
      <c r="I76" s="174"/>
      <c r="J76" s="174"/>
      <c r="K76" s="174">
        <f t="shared" si="12"/>
        <v>0</v>
      </c>
    </row>
    <row r="77" s="10" customFormat="1" ht="30" customHeight="1" spans="2:11">
      <c r="B77" s="173" t="s">
        <v>82</v>
      </c>
      <c r="C77" s="194"/>
      <c r="D77" s="119"/>
      <c r="E77" s="174"/>
      <c r="F77" s="174"/>
      <c r="G77" s="174"/>
      <c r="H77" s="174"/>
      <c r="I77" s="174"/>
      <c r="J77" s="174"/>
      <c r="K77" s="174">
        <f t="shared" si="12"/>
        <v>0</v>
      </c>
    </row>
    <row r="78" s="10" customFormat="1" ht="30" customHeight="1" spans="2:11">
      <c r="B78" s="171" t="s">
        <v>83</v>
      </c>
      <c r="C78" s="193"/>
      <c r="D78" s="119"/>
      <c r="E78" s="174"/>
      <c r="F78" s="174"/>
      <c r="G78" s="172">
        <f>+G79</f>
        <v>44920625.08</v>
      </c>
      <c r="H78" s="172">
        <f>+H79</f>
        <v>0</v>
      </c>
      <c r="I78" s="172">
        <f>+I79</f>
        <v>0</v>
      </c>
      <c r="J78" s="172">
        <f>+J79</f>
        <v>0</v>
      </c>
      <c r="K78" s="187">
        <f>+E78+F78+H78+G78+I78</f>
        <v>44920625.08</v>
      </c>
    </row>
    <row r="79" s="10" customFormat="1" ht="30" customHeight="1" spans="2:11">
      <c r="B79" s="173" t="s">
        <v>84</v>
      </c>
      <c r="C79" s="194"/>
      <c r="D79" s="120"/>
      <c r="E79" s="174"/>
      <c r="F79" s="174"/>
      <c r="G79" s="174">
        <v>44920625.08</v>
      </c>
      <c r="H79" s="174"/>
      <c r="I79" s="174"/>
      <c r="J79" s="174"/>
      <c r="K79" s="174">
        <f>+E79+F79+H79+I79+J79</f>
        <v>0</v>
      </c>
    </row>
    <row r="80" s="10" customFormat="1" ht="30" customHeight="1" spans="2:11">
      <c r="B80" s="173" t="s">
        <v>85</v>
      </c>
      <c r="C80" s="194"/>
      <c r="D80" s="119"/>
      <c r="E80" s="174"/>
      <c r="F80" s="174"/>
      <c r="G80" s="174"/>
      <c r="H80" s="174"/>
      <c r="I80" s="174"/>
      <c r="J80" s="174"/>
      <c r="K80" s="174">
        <f t="shared" ref="K80" si="13">+E80+F80+H80</f>
        <v>0</v>
      </c>
    </row>
    <row r="81" s="10" customFormat="1" ht="30" customHeight="1" spans="2:11">
      <c r="B81" s="171" t="s">
        <v>86</v>
      </c>
      <c r="C81" s="193"/>
      <c r="D81" s="119"/>
      <c r="E81" s="174"/>
      <c r="F81" s="174"/>
      <c r="G81" s="174"/>
      <c r="H81" s="174"/>
      <c r="I81" s="174"/>
      <c r="J81" s="174"/>
      <c r="K81" s="121"/>
    </row>
    <row r="82" s="10" customFormat="1" ht="30" customHeight="1" spans="2:11">
      <c r="B82" s="173" t="s">
        <v>87</v>
      </c>
      <c r="C82" s="194"/>
      <c r="D82" s="120"/>
      <c r="E82" s="174"/>
      <c r="F82" s="174"/>
      <c r="G82" s="174"/>
      <c r="H82" s="174"/>
      <c r="I82" s="174"/>
      <c r="J82" s="174"/>
      <c r="K82" s="121"/>
    </row>
    <row r="83" s="10" customFormat="1" ht="24.95" customHeight="1" spans="2:11">
      <c r="B83" s="195" t="s">
        <v>88</v>
      </c>
      <c r="C83" s="196">
        <f>+C11+C17+C27+C37+C45+C52+C62+C67+C70</f>
        <v>2447113502</v>
      </c>
      <c r="D83" s="196">
        <f t="shared" ref="D83:F83" si="14">+D11+D17+D27+D37+D45+D52+D62+D67+D70</f>
        <v>-11299559</v>
      </c>
      <c r="E83" s="196">
        <f t="shared" si="14"/>
        <v>68489291.4</v>
      </c>
      <c r="F83" s="196">
        <f t="shared" si="14"/>
        <v>89169821.48</v>
      </c>
      <c r="G83" s="196">
        <f>+G11+G17+G27+G37+G45+G52+G62+G67+G70+G78</f>
        <v>146335017.97</v>
      </c>
      <c r="H83" s="196">
        <f>+H11+H17+H27+H37+H45+H52+H62+H67+H70+H78</f>
        <v>92434528.48</v>
      </c>
      <c r="I83" s="196">
        <f>+I11+I17+I27+I37+I45+I52+I62+I67+I70+I78</f>
        <v>128547574.67</v>
      </c>
      <c r="J83" s="196">
        <f>+J11+J17+J27+J37+J45+J52+J62+J67+J70+J78</f>
        <v>115840408.46</v>
      </c>
      <c r="K83" s="196">
        <f>+K11+K17+K27+K37+K45+K52+K62+K67+K70+K78</f>
        <v>640816642.46</v>
      </c>
    </row>
    <row r="84" ht="17.25" spans="2:11">
      <c r="B84" s="197" t="s">
        <v>89</v>
      </c>
      <c r="I84" s="8"/>
      <c r="J84" s="8"/>
    </row>
    <row r="85" ht="18.75" spans="2:11">
      <c r="B85" s="112" t="s">
        <v>90</v>
      </c>
      <c r="D85" s="91"/>
      <c r="G85" s="91"/>
      <c r="H85" s="91"/>
      <c r="I85" s="91"/>
      <c r="J85" s="91"/>
    </row>
    <row r="86" ht="37.5" spans="2:11">
      <c r="B86" s="112" t="s">
        <v>91</v>
      </c>
      <c r="J86" s="91"/>
      <c r="K86" s="91"/>
    </row>
    <row r="87" ht="18.75" spans="2:11">
      <c r="B87" s="112" t="s">
        <v>92</v>
      </c>
      <c r="C87" s="91"/>
    </row>
    <row r="88" ht="18.75" spans="2:11">
      <c r="B88" s="112" t="s">
        <v>93</v>
      </c>
    </row>
    <row r="89" ht="18.75" spans="2:11">
      <c r="B89" s="112" t="s">
        <v>94</v>
      </c>
    </row>
    <row r="90" ht="18.75" spans="2:11">
      <c r="B90" s="112" t="s">
        <v>95</v>
      </c>
    </row>
    <row r="91" ht="225" spans="2:11">
      <c r="B91" s="112" t="s">
        <v>96</v>
      </c>
    </row>
    <row r="94" ht="23.25" spans="2:11">
      <c r="B94" s="59"/>
      <c r="C94" s="61"/>
      <c r="D94" s="61"/>
    </row>
    <row r="95" ht="23.25" spans="2:11">
      <c r="B95" s="198"/>
      <c r="E95" s="58"/>
      <c r="F95" s="58"/>
      <c r="G95" s="58"/>
      <c r="H95" s="58"/>
      <c r="I95" s="58"/>
      <c r="J95" s="58"/>
      <c r="K95" s="58"/>
    </row>
    <row r="96" ht="23.25" spans="2:11">
      <c r="B96" s="59"/>
      <c r="D96" s="61"/>
      <c r="E96" s="60"/>
      <c r="F96" s="60"/>
      <c r="G96" s="60"/>
      <c r="H96" s="60"/>
      <c r="I96" s="60"/>
      <c r="J96" s="60"/>
      <c r="K96" s="60"/>
    </row>
    <row r="97" ht="23.25" spans="1:11">
      <c r="B97" s="59"/>
      <c r="C97" s="61"/>
      <c r="D97" s="61"/>
    </row>
    <row r="98" ht="23.25" spans="1:11">
      <c r="B98" s="59"/>
      <c r="C98" s="61"/>
      <c r="D98" s="61"/>
    </row>
    <row r="99" ht="23.25" spans="1:11">
      <c r="B99" s="59"/>
      <c r="C99" s="61"/>
      <c r="D99" s="61"/>
    </row>
    <row r="100" ht="23.25" spans="1:11">
      <c r="B100" s="59"/>
      <c r="C100" s="61"/>
      <c r="D100" s="61"/>
    </row>
    <row r="101" ht="23.25" spans="1:11"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</row>
    <row r="102" ht="23.25" spans="1:11">
      <c r="B102" s="59"/>
      <c r="C102" s="59"/>
      <c r="D102" s="59"/>
      <c r="E102" s="59"/>
      <c r="F102" s="59"/>
      <c r="G102" s="59"/>
      <c r="H102" s="59"/>
      <c r="I102" s="59"/>
      <c r="J102" s="59"/>
      <c r="K102" s="59"/>
    </row>
    <row r="103" ht="23.25" spans="1:11">
      <c r="B103" s="59"/>
      <c r="C103" s="61"/>
      <c r="D103" s="61"/>
    </row>
    <row r="104" ht="23.25" spans="1:11">
      <c r="B104" s="59"/>
      <c r="C104" s="61"/>
      <c r="D104" s="61"/>
    </row>
    <row r="105" ht="23.25" spans="1:11">
      <c r="B105" s="59"/>
      <c r="C105" s="61"/>
      <c r="D105" s="61"/>
    </row>
    <row r="106" ht="18.75" spans="1:11">
      <c r="B106" s="13"/>
    </row>
    <row r="107" ht="12" customHeight="1" spans="1:11">
      <c r="B107" s="13"/>
    </row>
    <row r="108" ht="33.75" hidden="1" customHeight="1" spans="1:11">
      <c r="A108" s="56" t="s">
        <v>97</v>
      </c>
      <c r="B108" s="57"/>
      <c r="C108" s="58"/>
      <c r="D108" s="58"/>
    </row>
    <row r="109" ht="23.25" hidden="1" spans="1:11">
      <c r="B109" s="59"/>
      <c r="C109" s="61"/>
      <c r="D109" s="61"/>
    </row>
    <row r="110" ht="23.25" hidden="1" spans="1:11">
      <c r="B110" s="61"/>
      <c r="C110" s="61"/>
      <c r="D110" s="61"/>
    </row>
    <row r="111" ht="23.25" hidden="1" spans="1:11">
      <c r="B111" s="62"/>
      <c r="C111" s="62"/>
      <c r="D111" s="62"/>
    </row>
    <row r="112" ht="23.25" spans="1:11">
      <c r="B112" s="63" t="s">
        <v>98</v>
      </c>
      <c r="C112" s="63"/>
      <c r="D112" s="63"/>
    </row>
    <row r="113" ht="21" customHeight="1" spans="2:4">
      <c r="B113" s="61" t="s">
        <v>99</v>
      </c>
      <c r="C113" s="61"/>
    </row>
    <row r="114" ht="21" spans="2:4">
      <c r="B114" s="64"/>
      <c r="C114" s="64"/>
      <c r="D114" s="64"/>
    </row>
  </sheetData>
  <mergeCells count="16">
    <mergeCell ref="B2:K2"/>
    <mergeCell ref="B3:K3"/>
    <mergeCell ref="B4:K4"/>
    <mergeCell ref="B5:K5"/>
    <mergeCell ref="B6:K6"/>
    <mergeCell ref="E8:K8"/>
    <mergeCell ref="E95:K95"/>
    <mergeCell ref="E96:K96"/>
    <mergeCell ref="B101:K101"/>
    <mergeCell ref="B102:K102"/>
    <mergeCell ref="C108:D108"/>
    <mergeCell ref="B111:D111"/>
    <mergeCell ref="B114:D114"/>
    <mergeCell ref="B8:B9"/>
    <mergeCell ref="C8:C9"/>
    <mergeCell ref="D8:D9"/>
  </mergeCells>
  <printOptions horizontalCentered="1"/>
  <pageMargins left="0.669291338582677" right="0.354330708661417" top="0.62992125984252" bottom="0.354330708661417" header="0.590551181102362" footer="0.31496062992126"/>
  <pageSetup paperSize="1" scale="37" orientation="portrait"/>
  <headerFooter>
    <oddFooter>&amp;L&amp;P</oddFooter>
  </headerFooter>
  <rowBreaks count="5" manualBreakCount="5">
    <brk id="60" max="7" man="1"/>
    <brk id="102" max="6" man="1"/>
    <brk id="103" max="6" man="1"/>
    <brk id="104" max="5" man="1"/>
    <brk id="110" max="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opLeftCell="B1" workbookViewId="0">
      <selection activeCell="B27" sqref="B27:C27"/>
    </sheetView>
  </sheetViews>
  <sheetFormatPr defaultColWidth="11.4285714285714" defaultRowHeight="15" outlineLevelCol="4"/>
  <cols>
    <col min="1" max="1" width="5.85714285714286" hidden="1" customWidth="1"/>
    <col min="2" max="2" width="92.1428571428571" customWidth="1"/>
    <col min="3" max="3" width="36.4285714285714" customWidth="1"/>
    <col min="4" max="4" width="41.1428571428571" customWidth="1"/>
  </cols>
  <sheetData>
    <row r="1" spans="2:5">
      <c r="B1" s="68"/>
    </row>
    <row r="2" ht="28.5" customHeight="1" spans="2:5">
      <c r="B2" s="179" t="s">
        <v>0</v>
      </c>
      <c r="C2" s="180"/>
      <c r="D2" s="180"/>
    </row>
    <row r="3" ht="21" customHeight="1" spans="2:5">
      <c r="B3" s="181" t="s">
        <v>1</v>
      </c>
      <c r="C3" s="182"/>
      <c r="D3" s="182"/>
    </row>
    <row r="4" ht="21" spans="2:5">
      <c r="B4" s="183">
        <v>2026</v>
      </c>
      <c r="C4" s="184"/>
      <c r="D4" s="184"/>
    </row>
    <row r="5" ht="25.5" customHeight="1" spans="2:5">
      <c r="B5" s="14" t="s">
        <v>2</v>
      </c>
      <c r="C5" s="15"/>
      <c r="D5" s="15"/>
    </row>
    <row r="6" ht="27" customHeight="1" spans="2:5">
      <c r="B6" s="15" t="s">
        <v>3</v>
      </c>
      <c r="C6" s="15"/>
      <c r="D6" s="15"/>
    </row>
    <row r="8" customHeight="1" spans="2:5">
      <c r="B8" s="185" t="s">
        <v>4</v>
      </c>
      <c r="C8" s="186" t="s">
        <v>5</v>
      </c>
      <c r="D8" s="186" t="s">
        <v>6</v>
      </c>
    </row>
    <row r="9" ht="30" customHeight="1" spans="2:5">
      <c r="B9" s="185"/>
      <c r="C9" s="186"/>
      <c r="D9" s="186"/>
    </row>
    <row r="10" s="10" customFormat="1" ht="30" customHeight="1" spans="2:5">
      <c r="B10" s="171" t="s">
        <v>15</v>
      </c>
      <c r="C10" s="187">
        <f>+C11+C17+C27+C37+C45+C52+C62+C67+C70</f>
        <v>1282076050</v>
      </c>
      <c r="D10" s="187"/>
    </row>
    <row r="11" s="10" customFormat="1" ht="30" customHeight="1" spans="2:5">
      <c r="B11" s="171" t="s">
        <v>16</v>
      </c>
      <c r="C11" s="172"/>
      <c r="D11" s="172"/>
    </row>
    <row r="12" s="10" customFormat="1" ht="30" customHeight="1" spans="2:5">
      <c r="B12" s="173" t="s">
        <v>17</v>
      </c>
      <c r="C12" s="174"/>
      <c r="D12" s="188"/>
    </row>
    <row r="13" s="10" customFormat="1" ht="30" customHeight="1" spans="2:5">
      <c r="B13" s="173" t="s">
        <v>18</v>
      </c>
      <c r="C13" s="174"/>
      <c r="D13" s="188"/>
    </row>
    <row r="14" s="10" customFormat="1" ht="30" customHeight="1" spans="2:5">
      <c r="B14" s="173" t="s">
        <v>19</v>
      </c>
      <c r="C14" s="174"/>
      <c r="D14" s="188"/>
      <c r="E14" s="189"/>
    </row>
    <row r="15" s="10" customFormat="1" ht="30" customHeight="1" spans="2:5">
      <c r="B15" s="173" t="s">
        <v>20</v>
      </c>
      <c r="C15" s="174"/>
      <c r="D15" s="188"/>
    </row>
    <row r="16" s="10" customFormat="1" ht="30" customHeight="1" spans="2:5">
      <c r="B16" s="173" t="s">
        <v>21</v>
      </c>
      <c r="C16" s="174"/>
      <c r="D16" s="188"/>
    </row>
    <row r="17" s="10" customFormat="1" ht="30" customHeight="1" spans="2:4">
      <c r="B17" s="171" t="s">
        <v>22</v>
      </c>
      <c r="C17" s="172">
        <f>SUM(C18:C26)</f>
        <v>1033036050</v>
      </c>
      <c r="D17" s="172"/>
    </row>
    <row r="18" s="10" customFormat="1" ht="30" customHeight="1" spans="2:4">
      <c r="B18" s="173" t="s">
        <v>23</v>
      </c>
      <c r="C18" s="174"/>
      <c r="D18" s="188"/>
    </row>
    <row r="19" s="10" customFormat="1" ht="30" customHeight="1" spans="2:4">
      <c r="B19" s="173" t="s">
        <v>24</v>
      </c>
      <c r="C19" s="174">
        <v>832697380</v>
      </c>
      <c r="D19" s="188"/>
    </row>
    <row r="20" s="10" customFormat="1" ht="30" customHeight="1" spans="2:4">
      <c r="B20" s="173" t="s">
        <v>25</v>
      </c>
      <c r="C20" s="174">
        <v>33128670</v>
      </c>
      <c r="D20" s="188"/>
    </row>
    <row r="21" s="10" customFormat="1" ht="30" customHeight="1" spans="2:4">
      <c r="B21" s="173" t="s">
        <v>26</v>
      </c>
      <c r="C21" s="174">
        <v>5500000</v>
      </c>
      <c r="D21" s="188"/>
    </row>
    <row r="22" s="10" customFormat="1" ht="30" customHeight="1" spans="2:4">
      <c r="B22" s="173" t="s">
        <v>27</v>
      </c>
      <c r="C22" s="174"/>
      <c r="D22" s="188"/>
    </row>
    <row r="23" s="10" customFormat="1" ht="30" customHeight="1" spans="2:4">
      <c r="B23" s="173" t="s">
        <v>28</v>
      </c>
      <c r="C23" s="174"/>
      <c r="D23" s="188"/>
    </row>
    <row r="24" s="10" customFormat="1" ht="46.5" customHeight="1" spans="2:4">
      <c r="B24" s="190" t="s">
        <v>29</v>
      </c>
      <c r="C24" s="174">
        <v>23050000</v>
      </c>
      <c r="D24" s="188"/>
    </row>
    <row r="25" s="10" customFormat="1" ht="45" customHeight="1" spans="2:4">
      <c r="B25" s="190" t="s">
        <v>30</v>
      </c>
      <c r="C25" s="174">
        <v>48160000</v>
      </c>
      <c r="D25" s="188"/>
    </row>
    <row r="26" s="10" customFormat="1" ht="30" customHeight="1" spans="2:4">
      <c r="B26" s="173" t="s">
        <v>31</v>
      </c>
      <c r="C26" s="174">
        <v>90500000</v>
      </c>
      <c r="D26" s="188"/>
    </row>
    <row r="27" s="10" customFormat="1" ht="30" customHeight="1" spans="2:4">
      <c r="B27" s="171" t="s">
        <v>32</v>
      </c>
      <c r="C27" s="172">
        <f>SUM(C28:C36)</f>
        <v>77440000</v>
      </c>
      <c r="D27" s="172"/>
    </row>
    <row r="28" s="10" customFormat="1" ht="30" customHeight="1" spans="2:4">
      <c r="B28" s="173" t="s">
        <v>33</v>
      </c>
      <c r="C28" s="174">
        <v>5600000</v>
      </c>
      <c r="D28" s="188"/>
    </row>
    <row r="29" s="10" customFormat="1" ht="30" customHeight="1" spans="2:4">
      <c r="B29" s="173" t="s">
        <v>34</v>
      </c>
      <c r="C29" s="174">
        <v>6850000</v>
      </c>
      <c r="D29" s="188"/>
    </row>
    <row r="30" s="10" customFormat="1" ht="30" customHeight="1" spans="2:4">
      <c r="B30" s="173" t="s">
        <v>35</v>
      </c>
      <c r="C30" s="174">
        <v>2750000</v>
      </c>
      <c r="D30" s="188"/>
    </row>
    <row r="31" s="10" customFormat="1" ht="30" customHeight="1" spans="2:4">
      <c r="B31" s="173" t="s">
        <v>36</v>
      </c>
      <c r="C31" s="174">
        <v>500000</v>
      </c>
      <c r="D31" s="188"/>
    </row>
    <row r="32" s="10" customFormat="1" ht="30" customHeight="1" spans="2:4">
      <c r="B32" s="173" t="s">
        <v>37</v>
      </c>
      <c r="C32" s="174">
        <v>1315000</v>
      </c>
      <c r="D32" s="188"/>
    </row>
    <row r="33" s="10" customFormat="1" ht="30" customHeight="1" spans="2:4">
      <c r="B33" s="173" t="s">
        <v>38</v>
      </c>
      <c r="C33" s="174">
        <v>620000</v>
      </c>
      <c r="D33" s="188"/>
    </row>
    <row r="34" s="10" customFormat="1" ht="43.5" customHeight="1" spans="2:4">
      <c r="B34" s="190" t="s">
        <v>39</v>
      </c>
      <c r="C34" s="174">
        <v>16355000</v>
      </c>
      <c r="D34" s="188"/>
    </row>
    <row r="35" s="10" customFormat="1" ht="46.5" customHeight="1" spans="2:4">
      <c r="B35" s="190" t="s">
        <v>40</v>
      </c>
      <c r="C35" s="174"/>
      <c r="D35" s="188"/>
    </row>
    <row r="36" s="10" customFormat="1" ht="30" customHeight="1" spans="2:4">
      <c r="B36" s="173" t="s">
        <v>41</v>
      </c>
      <c r="C36" s="174">
        <v>43450000</v>
      </c>
      <c r="D36" s="188"/>
    </row>
    <row r="37" s="10" customFormat="1" ht="30" customHeight="1" spans="2:4">
      <c r="B37" s="171" t="s">
        <v>42</v>
      </c>
      <c r="C37" s="172">
        <f>SUM(C38:C43)</f>
        <v>0</v>
      </c>
      <c r="D37" s="172"/>
    </row>
    <row r="38" s="10" customFormat="1" ht="30" customHeight="1" spans="2:4">
      <c r="B38" s="173" t="s">
        <v>43</v>
      </c>
      <c r="C38" s="174"/>
      <c r="D38" s="188"/>
    </row>
    <row r="39" s="10" customFormat="1" ht="47.25" customHeight="1" spans="2:4">
      <c r="B39" s="190" t="s">
        <v>44</v>
      </c>
      <c r="C39" s="174"/>
      <c r="D39" s="188"/>
    </row>
    <row r="40" s="10" customFormat="1" ht="51" customHeight="1" spans="2:4">
      <c r="B40" s="190" t="s">
        <v>45</v>
      </c>
      <c r="C40" s="174"/>
      <c r="D40" s="188"/>
    </row>
    <row r="41" s="10" customFormat="1" ht="50.25" customHeight="1" spans="2:4">
      <c r="B41" s="190" t="s">
        <v>46</v>
      </c>
      <c r="C41" s="174"/>
      <c r="D41" s="188"/>
    </row>
    <row r="42" s="10" customFormat="1" ht="47.25" customHeight="1" spans="2:4">
      <c r="B42" s="190" t="s">
        <v>47</v>
      </c>
      <c r="C42" s="174"/>
      <c r="D42" s="188"/>
    </row>
    <row r="43" s="10" customFormat="1" ht="30" customHeight="1" spans="2:4">
      <c r="B43" s="190" t="s">
        <v>48</v>
      </c>
      <c r="C43" s="174"/>
      <c r="D43" s="188"/>
    </row>
    <row r="44" s="10" customFormat="1" ht="30" customHeight="1" spans="2:4">
      <c r="B44" s="173" t="s">
        <v>49</v>
      </c>
      <c r="C44" s="174"/>
      <c r="D44" s="188"/>
    </row>
    <row r="45" s="10" customFormat="1" ht="48.75" customHeight="1" spans="2:4">
      <c r="B45" s="190" t="s">
        <v>50</v>
      </c>
      <c r="C45" s="172">
        <f>SUM(C46:C51)</f>
        <v>0</v>
      </c>
      <c r="D45" s="188"/>
    </row>
    <row r="46" s="10" customFormat="1" ht="30" customHeight="1" spans="2:4">
      <c r="B46" s="171" t="s">
        <v>51</v>
      </c>
      <c r="C46" s="174"/>
      <c r="D46" s="191"/>
    </row>
    <row r="47" s="10" customFormat="1" ht="47.25" customHeight="1" spans="2:4">
      <c r="B47" s="190" t="s">
        <v>52</v>
      </c>
      <c r="C47" s="174"/>
      <c r="D47" s="188"/>
    </row>
    <row r="48" s="10" customFormat="1" ht="46.5" customHeight="1" spans="2:4">
      <c r="B48" s="190" t="s">
        <v>53</v>
      </c>
      <c r="C48" s="174"/>
      <c r="D48" s="188"/>
    </row>
    <row r="49" s="10" customFormat="1" ht="51" customHeight="1" spans="2:4">
      <c r="B49" s="190" t="s">
        <v>54</v>
      </c>
      <c r="C49" s="174"/>
      <c r="D49" s="188"/>
    </row>
    <row r="50" s="10" customFormat="1" ht="30" customHeight="1" spans="2:4">
      <c r="B50" s="173" t="s">
        <v>55</v>
      </c>
      <c r="C50" s="174"/>
      <c r="D50" s="188"/>
    </row>
    <row r="51" s="10" customFormat="1" ht="48.75" customHeight="1" spans="2:4">
      <c r="B51" s="190" t="s">
        <v>56</v>
      </c>
      <c r="C51" s="174"/>
      <c r="D51" s="188"/>
    </row>
    <row r="52" s="10" customFormat="1" ht="30" customHeight="1" spans="2:4">
      <c r="B52" s="171" t="s">
        <v>57</v>
      </c>
      <c r="C52" s="172">
        <f>SUM(C53:C61)</f>
        <v>136600000</v>
      </c>
      <c r="D52" s="172"/>
    </row>
    <row r="53" s="10" customFormat="1" ht="30" customHeight="1" spans="2:4">
      <c r="B53" s="173" t="s">
        <v>58</v>
      </c>
      <c r="C53" s="174">
        <v>35200000</v>
      </c>
      <c r="D53" s="188"/>
    </row>
    <row r="54" s="10" customFormat="1" ht="43.5" customHeight="1" spans="2:4">
      <c r="B54" s="190" t="s">
        <v>59</v>
      </c>
      <c r="C54" s="174">
        <v>1400000</v>
      </c>
      <c r="D54" s="188"/>
    </row>
    <row r="55" s="10" customFormat="1" ht="30" customHeight="1" spans="2:4">
      <c r="B55" s="173" t="s">
        <v>60</v>
      </c>
      <c r="C55" s="174">
        <v>250000</v>
      </c>
      <c r="D55" s="188"/>
    </row>
    <row r="56" s="10" customFormat="1" ht="48.75" customHeight="1" spans="2:4">
      <c r="B56" s="190" t="s">
        <v>61</v>
      </c>
      <c r="C56" s="174">
        <v>34750000</v>
      </c>
      <c r="D56" s="188"/>
    </row>
    <row r="57" s="10" customFormat="1" ht="30" customHeight="1" spans="2:4">
      <c r="B57" s="173" t="s">
        <v>62</v>
      </c>
      <c r="C57" s="174">
        <v>4500000</v>
      </c>
      <c r="D57" s="188"/>
    </row>
    <row r="58" s="10" customFormat="1" ht="30" customHeight="1" spans="2:4">
      <c r="B58" s="173" t="s">
        <v>63</v>
      </c>
      <c r="C58" s="174">
        <v>5000000</v>
      </c>
      <c r="D58" s="188"/>
    </row>
    <row r="59" s="10" customFormat="1" ht="30" customHeight="1" spans="2:4">
      <c r="B59" s="173" t="s">
        <v>64</v>
      </c>
      <c r="C59" s="174"/>
      <c r="D59" s="188"/>
    </row>
    <row r="60" s="10" customFormat="1" ht="30" customHeight="1" spans="2:4">
      <c r="B60" s="173" t="s">
        <v>65</v>
      </c>
      <c r="C60" s="174">
        <v>5000000</v>
      </c>
      <c r="D60" s="188"/>
    </row>
    <row r="61" s="10" customFormat="1" ht="42.75" customHeight="1" spans="2:4">
      <c r="B61" s="190" t="s">
        <v>66</v>
      </c>
      <c r="C61" s="174">
        <v>50500000</v>
      </c>
      <c r="D61" s="188"/>
    </row>
    <row r="62" s="10" customFormat="1" ht="30" customHeight="1" spans="2:4">
      <c r="B62" s="171" t="s">
        <v>67</v>
      </c>
      <c r="C62" s="172">
        <f>SUM(C63:C65)</f>
        <v>35000000</v>
      </c>
      <c r="D62" s="172"/>
    </row>
    <row r="63" s="10" customFormat="1" ht="30" customHeight="1" spans="2:4">
      <c r="B63" s="173" t="s">
        <v>68</v>
      </c>
      <c r="C63" s="174">
        <v>35000000</v>
      </c>
      <c r="D63" s="188"/>
    </row>
    <row r="64" s="10" customFormat="1" ht="30" customHeight="1" spans="2:4">
      <c r="B64" s="173" t="s">
        <v>69</v>
      </c>
      <c r="C64" s="174"/>
      <c r="D64" s="188"/>
    </row>
    <row r="65" s="10" customFormat="1" ht="30" customHeight="1" spans="2:4">
      <c r="B65" s="173" t="s">
        <v>70</v>
      </c>
      <c r="C65" s="174"/>
      <c r="D65" s="188"/>
    </row>
    <row r="66" s="10" customFormat="1" ht="48.75" customHeight="1" spans="2:4">
      <c r="B66" s="190" t="s">
        <v>71</v>
      </c>
      <c r="C66" s="174"/>
      <c r="D66" s="188"/>
    </row>
    <row r="67" s="10" customFormat="1" ht="42.75" customHeight="1" spans="2:4">
      <c r="B67" s="192" t="s">
        <v>72</v>
      </c>
      <c r="C67" s="172"/>
      <c r="D67" s="191"/>
    </row>
    <row r="68" s="10" customFormat="1" ht="30" customHeight="1" spans="2:4">
      <c r="B68" s="173" t="s">
        <v>73</v>
      </c>
      <c r="C68" s="174"/>
      <c r="D68" s="188"/>
    </row>
    <row r="69" s="10" customFormat="1" ht="47.25" customHeight="1" spans="2:4">
      <c r="B69" s="190" t="s">
        <v>74</v>
      </c>
      <c r="C69" s="174"/>
      <c r="D69" s="188"/>
    </row>
    <row r="70" s="10" customFormat="1" ht="30" customHeight="1" spans="2:4">
      <c r="B70" s="171" t="s">
        <v>75</v>
      </c>
      <c r="C70" s="172">
        <f>SUM(C71:C73)</f>
        <v>0</v>
      </c>
      <c r="D70" s="191"/>
    </row>
    <row r="71" s="10" customFormat="1" ht="30" customHeight="1" spans="2:4">
      <c r="B71" s="173" t="s">
        <v>76</v>
      </c>
      <c r="C71" s="174"/>
      <c r="D71" s="188"/>
    </row>
    <row r="72" s="10" customFormat="1" ht="30" customHeight="1" spans="2:4">
      <c r="B72" s="173" t="s">
        <v>77</v>
      </c>
      <c r="C72" s="174"/>
      <c r="D72" s="188"/>
    </row>
    <row r="73" s="10" customFormat="1" ht="42.75" customHeight="1" spans="2:4">
      <c r="B73" s="190" t="s">
        <v>78</v>
      </c>
      <c r="C73" s="174"/>
      <c r="D73" s="188"/>
    </row>
    <row r="74" s="10" customFormat="1" ht="30" customHeight="1" spans="2:4">
      <c r="B74" s="171" t="s">
        <v>79</v>
      </c>
      <c r="C74" s="193"/>
      <c r="D74" s="191"/>
    </row>
    <row r="75" s="10" customFormat="1" ht="30" customHeight="1" spans="2:4">
      <c r="B75" s="171" t="s">
        <v>80</v>
      </c>
      <c r="C75" s="193"/>
      <c r="D75" s="191"/>
    </row>
    <row r="76" s="10" customFormat="1" ht="30" customHeight="1" spans="2:4">
      <c r="B76" s="173" t="s">
        <v>81</v>
      </c>
      <c r="C76" s="194"/>
      <c r="D76" s="188"/>
    </row>
    <row r="77" s="10" customFormat="1" ht="30" customHeight="1" spans="2:4">
      <c r="B77" s="173" t="s">
        <v>82</v>
      </c>
      <c r="C77" s="194"/>
      <c r="D77" s="188"/>
    </row>
    <row r="78" s="10" customFormat="1" ht="30" customHeight="1" spans="2:4">
      <c r="B78" s="171" t="s">
        <v>83</v>
      </c>
      <c r="C78" s="193"/>
      <c r="D78" s="191"/>
    </row>
    <row r="79" s="10" customFormat="1" ht="30" customHeight="1" spans="2:4">
      <c r="B79" s="173" t="s">
        <v>84</v>
      </c>
      <c r="C79" s="194"/>
      <c r="D79" s="188"/>
    </row>
    <row r="80" s="10" customFormat="1" ht="30" customHeight="1" spans="2:4">
      <c r="B80" s="173" t="s">
        <v>85</v>
      </c>
      <c r="C80" s="194"/>
      <c r="D80" s="188"/>
    </row>
    <row r="81" s="10" customFormat="1" ht="30" customHeight="1" spans="2:4">
      <c r="B81" s="171" t="s">
        <v>86</v>
      </c>
      <c r="C81" s="193"/>
      <c r="D81" s="191"/>
    </row>
    <row r="82" s="10" customFormat="1" ht="30" customHeight="1" spans="2:4">
      <c r="B82" s="173" t="s">
        <v>87</v>
      </c>
      <c r="C82" s="194"/>
      <c r="D82" s="188"/>
    </row>
    <row r="83" s="10" customFormat="1" ht="24.95" customHeight="1" spans="2:4">
      <c r="B83" s="195" t="s">
        <v>88</v>
      </c>
      <c r="C83" s="196">
        <f>+C11+C17+C27+C37+C45+C52+C62+C67+C70</f>
        <v>1282076050</v>
      </c>
      <c r="D83" s="196"/>
    </row>
    <row r="84" ht="17.25" spans="2:4">
      <c r="B84" s="197" t="s">
        <v>89</v>
      </c>
    </row>
    <row r="85" ht="18.75" spans="2:4">
      <c r="B85" s="112" t="s">
        <v>90</v>
      </c>
    </row>
    <row r="86" ht="37.5" spans="2:4">
      <c r="B86" s="112" t="s">
        <v>91</v>
      </c>
    </row>
    <row r="87" ht="18.75" spans="2:4">
      <c r="B87" s="112" t="s">
        <v>92</v>
      </c>
      <c r="C87" s="91"/>
    </row>
    <row r="88" ht="18.75" spans="2:4">
      <c r="B88" s="112" t="s">
        <v>93</v>
      </c>
    </row>
    <row r="89" ht="18.75" spans="2:4">
      <c r="B89" s="112" t="s">
        <v>94</v>
      </c>
    </row>
    <row r="90" ht="18.75" spans="2:4">
      <c r="B90" s="112" t="s">
        <v>95</v>
      </c>
    </row>
    <row r="94" ht="23.25" spans="2:4">
      <c r="B94" s="59"/>
      <c r="C94" s="61"/>
      <c r="D94" s="61"/>
    </row>
    <row r="95" ht="23.25" spans="2:4">
      <c r="B95" s="198" t="s">
        <v>100</v>
      </c>
      <c r="C95" s="58" t="s">
        <v>101</v>
      </c>
      <c r="D95" s="58"/>
    </row>
    <row r="96" ht="23.25" spans="2:4">
      <c r="B96" s="59" t="s">
        <v>102</v>
      </c>
      <c r="C96" s="61" t="s">
        <v>103</v>
      </c>
      <c r="D96" s="61"/>
    </row>
    <row r="97" ht="23.25" spans="1:4">
      <c r="B97" s="59"/>
      <c r="C97" s="61"/>
      <c r="D97" s="61"/>
    </row>
    <row r="98" ht="23.25" spans="1:4">
      <c r="B98" s="59"/>
      <c r="C98" s="61"/>
      <c r="D98" s="61"/>
    </row>
    <row r="99" ht="23.25" spans="1:4">
      <c r="B99" s="59"/>
      <c r="C99" s="61"/>
      <c r="D99" s="61"/>
    </row>
    <row r="100" ht="23.25" spans="1:4">
      <c r="B100" s="59"/>
      <c r="C100" s="61"/>
      <c r="D100" s="61"/>
    </row>
    <row r="101" ht="23.25" spans="1:4">
      <c r="B101" s="199" t="s">
        <v>104</v>
      </c>
      <c r="C101" s="199"/>
      <c r="D101" s="199"/>
    </row>
    <row r="102" ht="23.25" spans="1:4">
      <c r="B102" s="59" t="s">
        <v>105</v>
      </c>
      <c r="C102" s="59"/>
      <c r="D102" s="59"/>
    </row>
    <row r="103" ht="23.25" spans="1:4">
      <c r="B103" s="59"/>
      <c r="C103" s="61"/>
      <c r="D103" s="61"/>
    </row>
    <row r="104" ht="23.25" spans="1:4">
      <c r="B104" s="59"/>
      <c r="C104" s="61"/>
      <c r="D104" s="61"/>
    </row>
    <row r="105" ht="23.25" spans="1:4">
      <c r="B105" s="59"/>
      <c r="C105" s="61"/>
      <c r="D105" s="61"/>
    </row>
    <row r="106" ht="18.75" spans="1:4">
      <c r="B106" s="13"/>
    </row>
    <row r="107" ht="12" customHeight="1" spans="1:4">
      <c r="B107" s="13"/>
    </row>
    <row r="108" ht="33.75" hidden="1" customHeight="1" spans="1:4">
      <c r="A108" s="56" t="s">
        <v>97</v>
      </c>
      <c r="B108" s="57"/>
      <c r="C108" s="58"/>
      <c r="D108" s="58"/>
    </row>
    <row r="109" ht="23.25" hidden="1" spans="1:4">
      <c r="B109" s="59"/>
      <c r="C109" s="61"/>
      <c r="D109" s="61"/>
    </row>
    <row r="110" ht="23.25" hidden="1" spans="1:4">
      <c r="B110" s="61"/>
      <c r="C110" s="61"/>
      <c r="D110" s="61"/>
    </row>
    <row r="111" ht="23.25" hidden="1" spans="1:4">
      <c r="B111" s="62"/>
      <c r="C111" s="62"/>
      <c r="D111" s="62"/>
    </row>
    <row r="112" ht="23.25" spans="1:4">
      <c r="B112" s="63" t="s">
        <v>98</v>
      </c>
      <c r="C112" s="63"/>
      <c r="D112" s="63"/>
    </row>
    <row r="113" ht="21" customHeight="1" spans="2:4">
      <c r="B113" s="61" t="s">
        <v>99</v>
      </c>
      <c r="C113" s="61"/>
    </row>
    <row r="114" ht="21" spans="2:4">
      <c r="B114" s="64"/>
      <c r="C114" s="64"/>
      <c r="D114" s="64"/>
    </row>
  </sheetData>
  <mergeCells count="14">
    <mergeCell ref="B2:D2"/>
    <mergeCell ref="B3:D3"/>
    <mergeCell ref="B4:D4"/>
    <mergeCell ref="B5:D5"/>
    <mergeCell ref="B6:D6"/>
    <mergeCell ref="C95:D95"/>
    <mergeCell ref="B101:D101"/>
    <mergeCell ref="B102:D102"/>
    <mergeCell ref="C108:D108"/>
    <mergeCell ref="B111:D111"/>
    <mergeCell ref="B114:D114"/>
    <mergeCell ref="B8:B9"/>
    <mergeCell ref="C8:C9"/>
    <mergeCell ref="D8:D9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K52"/>
  <sheetViews>
    <sheetView workbookViewId="0">
      <selection activeCell="A30" sqref="A30:B30"/>
    </sheetView>
  </sheetViews>
  <sheetFormatPr defaultColWidth="11" defaultRowHeight="15"/>
  <cols>
    <col min="1" max="1" width="60" customWidth="1"/>
    <col min="2" max="2" width="30.2857142857143" customWidth="1"/>
    <col min="7" max="7" width="15.8571428571429" customWidth="1"/>
    <col min="9" max="9" width="13.1428571428571" customWidth="1"/>
    <col min="10" max="10" width="15.4285714285714" customWidth="1"/>
    <col min="11" max="11" width="13.1428571428571" customWidth="1"/>
  </cols>
  <sheetData>
    <row r="5" ht="23.25" spans="1:7">
      <c r="A5" s="171" t="s">
        <v>22</v>
      </c>
      <c r="B5" s="172">
        <v>205795390</v>
      </c>
    </row>
    <row r="6" ht="23.25" spans="1:7">
      <c r="A6" s="171" t="s">
        <v>32</v>
      </c>
      <c r="B6" s="172">
        <v>56340000</v>
      </c>
    </row>
    <row r="7" ht="23.25" spans="1:7">
      <c r="B7" s="172">
        <v>146600000</v>
      </c>
    </row>
    <row r="8" ht="23.25" spans="1:7">
      <c r="B8" s="172">
        <f>SUM(B5:B7)</f>
        <v>408735390</v>
      </c>
    </row>
    <row r="10" spans="1:7">
      <c r="G10" s="8"/>
    </row>
    <row r="11" spans="1:7">
      <c r="A11" t="s">
        <v>106</v>
      </c>
      <c r="G11" s="8">
        <v>1639081.36</v>
      </c>
    </row>
    <row r="12" ht="23.25" spans="1:7">
      <c r="A12" s="173" t="s">
        <v>23</v>
      </c>
      <c r="B12" s="174"/>
      <c r="G12" s="8">
        <v>1644269.53</v>
      </c>
    </row>
    <row r="13" ht="23.25" spans="1:7">
      <c r="A13" s="173" t="s">
        <v>27</v>
      </c>
      <c r="B13" s="174">
        <v>16450000</v>
      </c>
      <c r="G13" s="8">
        <v>1850194.73</v>
      </c>
    </row>
    <row r="14" ht="23.25" spans="1:7">
      <c r="A14" s="173" t="s">
        <v>28</v>
      </c>
      <c r="B14" s="174">
        <v>30785390</v>
      </c>
      <c r="G14" s="8"/>
    </row>
    <row r="15" spans="1:7">
      <c r="G15" s="8"/>
    </row>
    <row r="16" spans="1:7">
      <c r="G16" s="8">
        <f>SUM(G10:G15)</f>
        <v>5133545.62</v>
      </c>
    </row>
    <row r="17" spans="1:11">
      <c r="B17" s="91">
        <f>SUM(B13:B16)</f>
        <v>47235390</v>
      </c>
      <c r="G17" s="8"/>
    </row>
    <row r="18" spans="1:11">
      <c r="G18" s="8">
        <v>6266057.15</v>
      </c>
    </row>
    <row r="20" spans="1:11">
      <c r="B20" s="91">
        <f>+B8-B17</f>
        <v>361500000</v>
      </c>
      <c r="G20" s="91">
        <f>+G16-G18</f>
        <v>-1132511.53</v>
      </c>
    </row>
    <row r="21" spans="1:11">
      <c r="B21" s="8">
        <f>+B20*2%</f>
        <v>7230000</v>
      </c>
      <c r="I21" s="175"/>
      <c r="J21" s="176"/>
    </row>
    <row r="22" ht="15.75" spans="1:11">
      <c r="B22" s="8">
        <v>7400000</v>
      </c>
      <c r="I22" s="177" t="s">
        <v>107</v>
      </c>
      <c r="J22" s="178">
        <v>-2150477.15</v>
      </c>
    </row>
    <row r="23" spans="1:11">
      <c r="B23" s="91">
        <f>+B22-B21</f>
        <v>170000</v>
      </c>
      <c r="G23" s="8"/>
      <c r="J23" s="175"/>
      <c r="K23" s="176"/>
    </row>
    <row r="24" ht="15.75" spans="1:11">
      <c r="G24" s="8">
        <v>290796.93</v>
      </c>
      <c r="J24" s="177" t="s">
        <v>107</v>
      </c>
      <c r="K24" s="178">
        <v>919014.18</v>
      </c>
    </row>
    <row r="25" spans="1:11">
      <c r="G25" s="8">
        <v>450341.12</v>
      </c>
    </row>
    <row r="26" spans="1:11">
      <c r="G26" s="8"/>
      <c r="J26" s="9">
        <f>+J22-K24</f>
        <v>-3069491.33</v>
      </c>
    </row>
    <row r="27" spans="1:11">
      <c r="G27" s="8">
        <f>SUM(G23:G26)</f>
        <v>741138.05</v>
      </c>
    </row>
    <row r="28" spans="1:11">
      <c r="G28" s="8"/>
      <c r="I28" s="8"/>
    </row>
    <row r="29" spans="1:11">
      <c r="I29" s="8">
        <v>2150477.15</v>
      </c>
    </row>
    <row r="30" ht="18.75" spans="1:11">
      <c r="A30" s="65" t="s">
        <v>108</v>
      </c>
      <c r="B30" s="65"/>
      <c r="G30" s="178"/>
      <c r="I30" s="8">
        <v>1371860</v>
      </c>
    </row>
    <row r="31" ht="15.75" spans="1:11">
      <c r="G31" s="178"/>
      <c r="I31" s="8">
        <f>SUM(I29:I30)</f>
        <v>3522337.15</v>
      </c>
    </row>
    <row r="32" spans="1:11">
      <c r="G32" s="9"/>
      <c r="I32" s="8"/>
    </row>
    <row r="33" ht="23.25" spans="1:11">
      <c r="A33" s="171" t="s">
        <v>22</v>
      </c>
      <c r="B33" s="172">
        <v>208795390</v>
      </c>
      <c r="I33" s="8">
        <v>1371860</v>
      </c>
      <c r="K33" s="91">
        <f>+I29+I34</f>
        <v>6266057.15</v>
      </c>
    </row>
    <row r="34" ht="23.25" spans="1:11">
      <c r="A34" s="171" t="s">
        <v>32</v>
      </c>
      <c r="B34" s="172">
        <v>56340000</v>
      </c>
      <c r="I34" s="8">
        <f>+I33*3</f>
        <v>4115580</v>
      </c>
    </row>
    <row r="35" ht="23.25" spans="1:11">
      <c r="A35" s="171" t="s">
        <v>109</v>
      </c>
      <c r="B35" s="172">
        <v>155000000</v>
      </c>
      <c r="I35" s="8"/>
    </row>
    <row r="36" ht="23.25" spans="1:11">
      <c r="B36" s="172">
        <f>SUM(B33:B35)</f>
        <v>420135390</v>
      </c>
      <c r="I36" s="8">
        <f>+I31-I34</f>
        <v>-593242.85</v>
      </c>
    </row>
    <row r="39" spans="1:11">
      <c r="A39" t="s">
        <v>106</v>
      </c>
    </row>
    <row r="40" ht="23.25" spans="1:11">
      <c r="A40" s="173" t="s">
        <v>23</v>
      </c>
      <c r="B40" s="174"/>
    </row>
    <row r="41" ht="23.25" spans="1:11">
      <c r="A41" s="173" t="s">
        <v>27</v>
      </c>
      <c r="B41" s="174">
        <v>16450000</v>
      </c>
    </row>
    <row r="42" ht="23.25" spans="1:11">
      <c r="A42" s="173" t="s">
        <v>28</v>
      </c>
      <c r="B42" s="174">
        <v>30785390</v>
      </c>
    </row>
    <row r="44" ht="23.25" spans="1:11">
      <c r="B44" s="174">
        <f>SUM(B41:B43)</f>
        <v>47235390</v>
      </c>
    </row>
    <row r="45" spans="1:11">
      <c r="B45" s="91"/>
    </row>
    <row r="46" ht="23.25" spans="1:11">
      <c r="B46" s="174">
        <f>+B36-B44</f>
        <v>372900000</v>
      </c>
    </row>
    <row r="48" spans="1:11">
      <c r="B48" s="91" t="s">
        <v>110</v>
      </c>
    </row>
    <row r="49" ht="23.25" spans="1:2">
      <c r="B49" s="174">
        <f>+B46*2%</f>
        <v>7458000</v>
      </c>
    </row>
    <row r="50" spans="1:2">
      <c r="B50" s="8"/>
    </row>
    <row r="51" spans="1:2">
      <c r="B51" s="91"/>
    </row>
    <row r="52" ht="23.25" spans="1:2">
      <c r="A52" s="171" t="s">
        <v>111</v>
      </c>
      <c r="B52" s="174">
        <v>7400000</v>
      </c>
    </row>
  </sheetData>
  <mergeCells count="1">
    <mergeCell ref="A30:B30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view="pageBreakPreview" zoomScale="53" zoomScaleNormal="100" topLeftCell="B1" workbookViewId="0">
      <selection activeCell="B84" sqref="B84:B90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2.5714285714286" customWidth="1"/>
    <col min="5" max="5" width="25.8571428571429" customWidth="1"/>
    <col min="6" max="16" width="14.5714285714286" customWidth="1"/>
    <col min="17" max="17" width="21.5714285714286" customWidth="1"/>
  </cols>
  <sheetData>
    <row r="1" ht="28.5" customHeight="1" spans="2:17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21" customHeight="1" spans="2:17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15.75" spans="2:17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5.75" customHeight="1" spans="2:17">
      <c r="B4" s="19" t="s">
        <v>112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ht="15.75" customHeight="1" spans="2:17">
      <c r="B5" s="21" t="s">
        <v>3</v>
      </c>
      <c r="C5" s="21"/>
      <c r="D5" s="21"/>
    </row>
    <row r="7" customHeight="1" spans="2:17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24" customHeight="1" spans="2:17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7">
      <c r="B9" s="30" t="s">
        <v>15</v>
      </c>
      <c r="C9" s="31">
        <f>+C10+C16+C26+C36+C44+C52+C62+C67+C70</f>
        <v>1024795636</v>
      </c>
      <c r="D9" s="32">
        <f>+D10+D16+D26+D36+D44+D52+D62+D67+D70</f>
        <v>0</v>
      </c>
      <c r="E9" s="32">
        <f t="shared" ref="E9:P9" si="0">+E10+E16+E26+E36+E44+E52+E62+E67+E70</f>
        <v>34516386.94</v>
      </c>
      <c r="F9" s="32">
        <f t="shared" si="0"/>
        <v>0</v>
      </c>
      <c r="G9" s="32">
        <f t="shared" si="0"/>
        <v>0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>+E9+F9+G9+H9+I9+J9+K9+L9+M9+N9+O9+P9</f>
        <v>34516386.94</v>
      </c>
    </row>
    <row r="10" s="10" customFormat="1" ht="27" customHeight="1" spans="2:17">
      <c r="B10" s="33" t="s">
        <v>16</v>
      </c>
      <c r="C10" s="34">
        <f>SUM(C11:C15)</f>
        <v>493015272</v>
      </c>
      <c r="D10" s="35">
        <f>SUM(D11:D15)</f>
        <v>0</v>
      </c>
      <c r="E10" s="35">
        <f t="shared" ref="E10:N10" si="1">SUM(E11:E15)</f>
        <v>31761117.39</v>
      </c>
      <c r="F10" s="35">
        <f t="shared" si="1"/>
        <v>0</v>
      </c>
      <c r="G10" s="35">
        <f t="shared" si="1"/>
        <v>0</v>
      </c>
      <c r="H10" s="35">
        <f t="shared" si="1"/>
        <v>0</v>
      </c>
      <c r="I10" s="35">
        <f t="shared" si="1"/>
        <v>0</v>
      </c>
      <c r="J10" s="35">
        <f t="shared" si="1"/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6">
        <f>+O11+O12+O13+O14+O15</f>
        <v>0</v>
      </c>
      <c r="P10" s="36">
        <f>+P11+P12+P13+P14+P15</f>
        <v>0</v>
      </c>
      <c r="Q10" s="35">
        <f>SUM(Q11:Q15)</f>
        <v>31761117.39</v>
      </c>
    </row>
    <row r="11" s="10" customFormat="1" ht="27" customHeight="1" spans="2:17">
      <c r="B11" s="37" t="s">
        <v>17</v>
      </c>
      <c r="C11" s="38">
        <v>375747353</v>
      </c>
      <c r="D11" s="39">
        <v>2160000</v>
      </c>
      <c r="E11" s="40">
        <v>26334286.2</v>
      </c>
      <c r="F11" s="40"/>
      <c r="G11" s="40"/>
      <c r="H11" s="40"/>
      <c r="I11" s="40"/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39">
        <v>0</v>
      </c>
      <c r="P11" s="39">
        <v>0</v>
      </c>
      <c r="Q11" s="41">
        <f>+E11+F11+G11+H11+I11+J11+K11+L11+M11+N11+O11+P11</f>
        <v>26334286.2</v>
      </c>
    </row>
    <row r="12" s="10" customFormat="1" ht="27" customHeight="1" spans="2:17">
      <c r="B12" s="37" t="s">
        <v>18</v>
      </c>
      <c r="C12" s="38">
        <v>67781665</v>
      </c>
      <c r="D12" s="39"/>
      <c r="E12" s="40">
        <v>1437000</v>
      </c>
      <c r="F12" s="40"/>
      <c r="G12" s="40"/>
      <c r="H12" s="40">
        <v>0</v>
      </c>
      <c r="I12" s="40"/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39">
        <v>0</v>
      </c>
      <c r="P12" s="39">
        <v>0</v>
      </c>
      <c r="Q12" s="41">
        <f>+E12+F12+G12+H12+I12+J12+K12+L12+M12+N12+O12+P12</f>
        <v>1437000</v>
      </c>
    </row>
    <row r="13" s="10" customFormat="1" ht="27" customHeight="1" spans="2:17">
      <c r="B13" s="37" t="s">
        <v>19</v>
      </c>
      <c r="C13" s="38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7">
      <c r="B14" s="37" t="s">
        <v>20</v>
      </c>
      <c r="C14" s="38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7">
      <c r="B15" s="37" t="s">
        <v>21</v>
      </c>
      <c r="C15" s="38">
        <v>49486254</v>
      </c>
      <c r="D15" s="39">
        <v>-2160000</v>
      </c>
      <c r="E15" s="40">
        <v>3989831.19</v>
      </c>
      <c r="F15" s="40">
        <v>0</v>
      </c>
      <c r="G15" s="40">
        <v>0</v>
      </c>
      <c r="H15" s="40">
        <v>0</v>
      </c>
      <c r="I15" s="40"/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39">
        <v>0</v>
      </c>
      <c r="P15" s="39">
        <v>0</v>
      </c>
      <c r="Q15" s="41">
        <f>+E15+F15+G15+H15+I15+J15+K15+L15+M15+N15+O15+P15</f>
        <v>3989831.19</v>
      </c>
    </row>
    <row r="16" s="10" customFormat="1" ht="27" customHeight="1" spans="2:17">
      <c r="B16" s="33" t="s">
        <v>22</v>
      </c>
      <c r="C16" s="34">
        <f>SUM(C17:C25)</f>
        <v>180335892</v>
      </c>
      <c r="D16" s="35">
        <f>SUM(D17:D25)</f>
        <v>-12331512</v>
      </c>
      <c r="E16" s="35">
        <f t="shared" ref="E16:P16" si="2">SUM(E17:E25)</f>
        <v>2755269.55</v>
      </c>
      <c r="F16" s="35">
        <f t="shared" si="2"/>
        <v>0</v>
      </c>
      <c r="G16" s="35">
        <f t="shared" si="2"/>
        <v>0</v>
      </c>
      <c r="H16" s="35">
        <f t="shared" si="2"/>
        <v>0</v>
      </c>
      <c r="I16" s="35">
        <f t="shared" si="2"/>
        <v>0</v>
      </c>
      <c r="J16" s="35">
        <f t="shared" si="2"/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6">
        <f>+Q17+Q18+Q19+Q20+Q21+Q22+Q23+Q24+Q25</f>
        <v>2755269.55</v>
      </c>
    </row>
    <row r="17" s="10" customFormat="1" ht="27" customHeight="1" spans="2:17">
      <c r="B17" s="37" t="s">
        <v>23</v>
      </c>
      <c r="C17" s="38">
        <v>33780000</v>
      </c>
      <c r="D17" s="39">
        <v>0</v>
      </c>
      <c r="E17" s="40">
        <v>1991078.74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39">
        <v>0</v>
      </c>
      <c r="P17" s="39">
        <v>0</v>
      </c>
      <c r="Q17" s="41">
        <f t="shared" ref="Q17:Q83" si="3">+E17+F17+G17+H17+I17+J17+K17+L17+M17+N17+O17+P17</f>
        <v>1991078.74</v>
      </c>
    </row>
    <row r="18" s="10" customFormat="1" ht="27" customHeight="1" spans="2:17">
      <c r="B18" s="37" t="s">
        <v>24</v>
      </c>
      <c r="C18" s="38">
        <v>5800000</v>
      </c>
      <c r="D18" s="39">
        <v>0</v>
      </c>
      <c r="E18" s="40">
        <v>0</v>
      </c>
      <c r="F18" s="40">
        <v>0</v>
      </c>
      <c r="G18" s="40">
        <v>0</v>
      </c>
      <c r="H18" s="40"/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39"/>
      <c r="P18" s="39">
        <v>0</v>
      </c>
      <c r="Q18" s="41">
        <f t="shared" si="3"/>
        <v>0</v>
      </c>
    </row>
    <row r="19" s="10" customFormat="1" ht="27" customHeight="1" spans="2:17">
      <c r="B19" s="37" t="s">
        <v>25</v>
      </c>
      <c r="C19" s="38">
        <v>31000000</v>
      </c>
      <c r="D19" s="39">
        <v>-10037512</v>
      </c>
      <c r="E19" s="40">
        <v>0</v>
      </c>
      <c r="F19" s="40"/>
      <c r="G19" s="40"/>
      <c r="H19" s="40"/>
      <c r="I19" s="40"/>
      <c r="J19" s="40"/>
      <c r="K19" s="40">
        <v>0</v>
      </c>
      <c r="L19" s="40"/>
      <c r="M19" s="40"/>
      <c r="N19" s="40"/>
      <c r="O19" s="39"/>
      <c r="P19" s="39"/>
      <c r="Q19" s="41">
        <f t="shared" si="3"/>
        <v>0</v>
      </c>
    </row>
    <row r="20" s="10" customFormat="1" ht="27" customHeight="1" spans="2:17">
      <c r="B20" s="37" t="s">
        <v>26</v>
      </c>
      <c r="C20" s="38">
        <v>2600000</v>
      </c>
      <c r="D20" s="39"/>
      <c r="E20" s="40">
        <v>0</v>
      </c>
      <c r="F20" s="40"/>
      <c r="G20" s="40"/>
      <c r="H20" s="40"/>
      <c r="I20" s="40"/>
      <c r="J20" s="40"/>
      <c r="K20" s="40">
        <v>0</v>
      </c>
      <c r="L20" s="40"/>
      <c r="M20" s="40"/>
      <c r="N20" s="40"/>
      <c r="O20" s="39"/>
      <c r="P20" s="39"/>
      <c r="Q20" s="41">
        <f t="shared" si="3"/>
        <v>0</v>
      </c>
    </row>
    <row r="21" s="10" customFormat="1" ht="27" customHeight="1" spans="2:17">
      <c r="B21" s="37" t="s">
        <v>27</v>
      </c>
      <c r="C21" s="38">
        <v>13025891</v>
      </c>
      <c r="D21" s="39">
        <v>2206000</v>
      </c>
      <c r="E21" s="40">
        <v>565259.18</v>
      </c>
      <c r="F21" s="40"/>
      <c r="G21" s="40"/>
      <c r="H21" s="40"/>
      <c r="I21" s="40"/>
      <c r="J21" s="40"/>
      <c r="K21" s="40"/>
      <c r="L21" s="40"/>
      <c r="M21" s="40"/>
      <c r="N21" s="40"/>
      <c r="O21" s="39"/>
      <c r="P21" s="39"/>
      <c r="Q21" s="41">
        <f t="shared" si="3"/>
        <v>565259.18</v>
      </c>
    </row>
    <row r="22" s="10" customFormat="1" ht="27" customHeight="1" spans="2:17">
      <c r="B22" s="37" t="s">
        <v>28</v>
      </c>
      <c r="C22" s="38">
        <v>12600000</v>
      </c>
      <c r="D22" s="3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39"/>
      <c r="P22" s="39"/>
      <c r="Q22" s="41">
        <f t="shared" si="3"/>
        <v>0</v>
      </c>
    </row>
    <row r="23" s="10" customFormat="1" ht="45.75" customHeight="1" spans="2:17">
      <c r="B23" s="42" t="s">
        <v>29</v>
      </c>
      <c r="C23" s="38">
        <v>29590000</v>
      </c>
      <c r="D23" s="39"/>
      <c r="E23" s="40">
        <v>0</v>
      </c>
      <c r="F23" s="40"/>
      <c r="G23" s="40"/>
      <c r="H23" s="40"/>
      <c r="I23" s="40"/>
      <c r="J23" s="40"/>
      <c r="K23" s="40"/>
      <c r="L23" s="40"/>
      <c r="M23" s="40"/>
      <c r="N23" s="40"/>
      <c r="O23" s="39"/>
      <c r="P23" s="39"/>
      <c r="Q23" s="41">
        <f t="shared" si="3"/>
        <v>0</v>
      </c>
    </row>
    <row r="24" s="10" customFormat="1" ht="43.5" customHeight="1" spans="2:17">
      <c r="B24" s="42" t="s">
        <v>30</v>
      </c>
      <c r="C24" s="38">
        <v>30340000</v>
      </c>
      <c r="D24" s="39">
        <v>-4500000</v>
      </c>
      <c r="E24" s="40">
        <v>198931.63</v>
      </c>
      <c r="F24" s="40"/>
      <c r="G24" s="40"/>
      <c r="H24" s="40"/>
      <c r="I24" s="40"/>
      <c r="J24" s="40"/>
      <c r="K24" s="40"/>
      <c r="L24" s="40"/>
      <c r="M24" s="40"/>
      <c r="N24" s="40"/>
      <c r="O24" s="39"/>
      <c r="P24" s="39"/>
      <c r="Q24" s="41">
        <f t="shared" si="3"/>
        <v>198931.63</v>
      </c>
    </row>
    <row r="25" s="10" customFormat="1" ht="27" customHeight="1" spans="2:17">
      <c r="B25" s="37" t="s">
        <v>31</v>
      </c>
      <c r="C25" s="38">
        <v>21600001</v>
      </c>
      <c r="D25" s="39"/>
      <c r="E25" s="40"/>
      <c r="F25" s="40"/>
      <c r="G25" s="40"/>
      <c r="H25" s="40"/>
      <c r="I25" s="40">
        <v>0</v>
      </c>
      <c r="J25" s="40"/>
      <c r="K25" s="40">
        <v>0</v>
      </c>
      <c r="L25" s="40">
        <v>0</v>
      </c>
      <c r="M25" s="40"/>
      <c r="N25" s="40">
        <v>0</v>
      </c>
      <c r="O25" s="43"/>
      <c r="P25" s="39"/>
      <c r="Q25" s="41">
        <f t="shared" si="3"/>
        <v>0</v>
      </c>
    </row>
    <row r="26" s="10" customFormat="1" ht="27" customHeight="1" spans="2:17">
      <c r="B26" s="33" t="s">
        <v>32</v>
      </c>
      <c r="C26" s="34">
        <f>SUM(C27:C35)</f>
        <v>309474472</v>
      </c>
      <c r="D26" s="35">
        <f>SUM(D27:D35)</f>
        <v>-11550000</v>
      </c>
      <c r="E26" s="35">
        <f t="shared" ref="E26:P26" si="4">SUM(E27:E35)</f>
        <v>0</v>
      </c>
      <c r="F26" s="35">
        <f t="shared" si="4"/>
        <v>0</v>
      </c>
      <c r="G26" s="35">
        <f t="shared" si="4"/>
        <v>0</v>
      </c>
      <c r="H26" s="35">
        <f t="shared" si="4"/>
        <v>0</v>
      </c>
      <c r="I26" s="35">
        <f t="shared" si="4"/>
        <v>0</v>
      </c>
      <c r="J26" s="35">
        <f t="shared" si="4"/>
        <v>0</v>
      </c>
      <c r="K26" s="35">
        <f t="shared" si="4"/>
        <v>0</v>
      </c>
      <c r="L26" s="35">
        <f t="shared" si="4"/>
        <v>0</v>
      </c>
      <c r="M26" s="35">
        <f t="shared" si="4"/>
        <v>0</v>
      </c>
      <c r="N26" s="35">
        <f t="shared" si="4"/>
        <v>0</v>
      </c>
      <c r="O26" s="35">
        <f t="shared" si="4"/>
        <v>0</v>
      </c>
      <c r="P26" s="35">
        <f t="shared" si="4"/>
        <v>0</v>
      </c>
      <c r="Q26" s="36">
        <f>+Q27+Q28+Q29+Q30+Q31+Q33+Q32+Q34+Q35+Q36+Q37</f>
        <v>0</v>
      </c>
    </row>
    <row r="27" s="10" customFormat="1" ht="27" customHeight="1" spans="2:17">
      <c r="B27" s="37" t="s">
        <v>33</v>
      </c>
      <c r="C27" s="38">
        <v>7700000</v>
      </c>
      <c r="D27" s="39">
        <v>-1500000</v>
      </c>
      <c r="E27" s="40">
        <v>0</v>
      </c>
      <c r="F27" s="40"/>
      <c r="G27" s="40">
        <v>0</v>
      </c>
      <c r="H27" s="40"/>
      <c r="I27" s="40"/>
      <c r="J27" s="40">
        <v>0</v>
      </c>
      <c r="K27" s="40"/>
      <c r="L27" s="40">
        <v>0</v>
      </c>
      <c r="M27" s="40"/>
      <c r="N27" s="40"/>
      <c r="O27" s="40"/>
      <c r="P27" s="39"/>
      <c r="Q27" s="41">
        <f t="shared" si="3"/>
        <v>0</v>
      </c>
    </row>
    <row r="28" s="10" customFormat="1" ht="27" customHeight="1" spans="2:17">
      <c r="B28" s="37" t="s">
        <v>34</v>
      </c>
      <c r="C28" s="38">
        <v>10700000</v>
      </c>
      <c r="D28" s="39"/>
      <c r="E28" s="40">
        <v>0</v>
      </c>
      <c r="F28" s="40"/>
      <c r="G28" s="40"/>
      <c r="H28" s="40"/>
      <c r="I28" s="40"/>
      <c r="J28" s="40">
        <v>0</v>
      </c>
      <c r="K28" s="40">
        <v>0</v>
      </c>
      <c r="L28" s="40">
        <v>0</v>
      </c>
      <c r="M28" s="40"/>
      <c r="N28" s="40">
        <v>0</v>
      </c>
      <c r="O28" s="40"/>
      <c r="P28" s="39"/>
      <c r="Q28" s="41">
        <f t="shared" si="3"/>
        <v>0</v>
      </c>
    </row>
    <row r="29" s="10" customFormat="1" ht="27" customHeight="1" spans="2:17">
      <c r="B29" s="37" t="s">
        <v>35</v>
      </c>
      <c r="C29" s="38">
        <v>228422500</v>
      </c>
      <c r="D29" s="39">
        <v>-10000000</v>
      </c>
      <c r="E29" s="40">
        <v>0</v>
      </c>
      <c r="F29" s="40"/>
      <c r="G29" s="40"/>
      <c r="H29" s="40"/>
      <c r="I29" s="40"/>
      <c r="J29" s="40">
        <v>0</v>
      </c>
      <c r="K29" s="40">
        <v>0</v>
      </c>
      <c r="L29" s="40">
        <v>0</v>
      </c>
      <c r="M29" s="40"/>
      <c r="N29" s="40"/>
      <c r="O29" s="40"/>
      <c r="P29" s="39"/>
      <c r="Q29" s="41">
        <f t="shared" si="3"/>
        <v>0</v>
      </c>
    </row>
    <row r="30" s="10" customFormat="1" ht="27" customHeight="1" spans="2:17">
      <c r="B30" s="37" t="s">
        <v>36</v>
      </c>
      <c r="C30" s="38">
        <v>3499999</v>
      </c>
      <c r="D30" s="39"/>
      <c r="E30" s="40">
        <v>0</v>
      </c>
      <c r="F30" s="40"/>
      <c r="G30" s="40"/>
      <c r="H30" s="40"/>
      <c r="I30" s="40"/>
      <c r="J30" s="40">
        <v>0</v>
      </c>
      <c r="K30" s="40">
        <v>0</v>
      </c>
      <c r="L30" s="40">
        <v>0</v>
      </c>
      <c r="M30" s="40"/>
      <c r="N30" s="40"/>
      <c r="O30" s="40"/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38">
        <v>3010000</v>
      </c>
      <c r="D31" s="39">
        <v>-1300000</v>
      </c>
      <c r="E31" s="40">
        <v>0</v>
      </c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40"/>
      <c r="O31" s="40"/>
      <c r="P31" s="39"/>
      <c r="Q31" s="41">
        <f t="shared" si="3"/>
        <v>0</v>
      </c>
    </row>
    <row r="32" s="10" customFormat="1" ht="42" customHeight="1" spans="2:17">
      <c r="B32" s="37" t="s">
        <v>38</v>
      </c>
      <c r="C32" s="38">
        <v>290000</v>
      </c>
      <c r="D32" s="39">
        <v>50000</v>
      </c>
      <c r="E32" s="40">
        <v>0</v>
      </c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0"/>
      <c r="O32" s="40"/>
      <c r="P32" s="39"/>
      <c r="Q32" s="41">
        <f t="shared" si="3"/>
        <v>0</v>
      </c>
    </row>
    <row r="33" s="10" customFormat="1" ht="39" customHeight="1" spans="2:17">
      <c r="B33" s="42" t="s">
        <v>39</v>
      </c>
      <c r="C33" s="38">
        <v>15595000</v>
      </c>
      <c r="D33" s="39"/>
      <c r="E33" s="40">
        <v>0</v>
      </c>
      <c r="F33" s="40"/>
      <c r="G33" s="40"/>
      <c r="H33" s="40"/>
      <c r="I33" s="40"/>
      <c r="J33" s="40"/>
      <c r="K33" s="40">
        <v>0</v>
      </c>
      <c r="L33" s="40">
        <v>0</v>
      </c>
      <c r="M33" s="40"/>
      <c r="N33" s="40">
        <v>0</v>
      </c>
      <c r="O33" s="40"/>
      <c r="P33" s="39"/>
      <c r="Q33" s="41">
        <f t="shared" si="3"/>
        <v>0</v>
      </c>
    </row>
    <row r="34" s="10" customFormat="1" ht="39.75" customHeight="1" spans="2:17">
      <c r="B34" s="42" t="s">
        <v>40</v>
      </c>
      <c r="C34" s="38"/>
      <c r="D34" s="39"/>
      <c r="E34" s="40"/>
      <c r="F34" s="40"/>
      <c r="G34" s="40"/>
      <c r="H34" s="40"/>
      <c r="I34" s="40"/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38">
        <v>40256973</v>
      </c>
      <c r="D35" s="39">
        <v>1200000</v>
      </c>
      <c r="E35" s="40">
        <v>0</v>
      </c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39"/>
      <c r="Q35" s="41">
        <f t="shared" si="3"/>
        <v>0</v>
      </c>
    </row>
    <row r="36" s="10" customFormat="1" ht="27" customHeight="1" spans="2:17">
      <c r="B36" s="33" t="s">
        <v>42</v>
      </c>
      <c r="C36" s="34">
        <f>SUM(C37:C42)</f>
        <v>3000000</v>
      </c>
      <c r="D36" s="35">
        <f>SUM(D37:D42)</f>
        <v>0</v>
      </c>
      <c r="E36" s="35">
        <f t="shared" ref="E36:M36" si="5">SUM(E37:E42)</f>
        <v>0</v>
      </c>
      <c r="F36" s="35"/>
      <c r="G36" s="35">
        <f t="shared" si="5"/>
        <v>0</v>
      </c>
      <c r="H36" s="35">
        <f t="shared" si="5"/>
        <v>0</v>
      </c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38">
        <v>3000000</v>
      </c>
      <c r="D37" s="39"/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3"/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38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3"/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38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3"/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38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3"/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38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3"/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38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3"/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38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3"/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4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3"/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38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3"/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38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3"/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38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3"/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38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3"/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38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3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38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3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38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3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4">
        <f>SUM(C53:C61)</f>
        <v>35070000</v>
      </c>
      <c r="D52" s="35">
        <f>SUM(D53:D61)</f>
        <v>23881512</v>
      </c>
      <c r="E52" s="35">
        <f t="shared" ref="E52:P52" si="6">SUM(E53:E61)</f>
        <v>0</v>
      </c>
      <c r="F52" s="35">
        <f t="shared" si="6"/>
        <v>0</v>
      </c>
      <c r="G52" s="35">
        <f t="shared" si="6"/>
        <v>0</v>
      </c>
      <c r="H52" s="35">
        <f t="shared" si="6"/>
        <v>0</v>
      </c>
      <c r="I52" s="35">
        <f t="shared" si="6"/>
        <v>0</v>
      </c>
      <c r="J52" s="35">
        <f t="shared" si="6"/>
        <v>0</v>
      </c>
      <c r="K52" s="35">
        <f t="shared" si="6"/>
        <v>0</v>
      </c>
      <c r="L52" s="35">
        <f t="shared" si="6"/>
        <v>0</v>
      </c>
      <c r="M52" s="35">
        <f t="shared" si="6"/>
        <v>0</v>
      </c>
      <c r="N52" s="35">
        <f t="shared" si="6"/>
        <v>0</v>
      </c>
      <c r="O52" s="35">
        <f t="shared" si="6"/>
        <v>0</v>
      </c>
      <c r="P52" s="35">
        <f t="shared" si="6"/>
        <v>0</v>
      </c>
      <c r="Q52" s="36">
        <f>+Q53+Q54+Q55+Q56+Q57+Q58+Q59+Q60+Q61</f>
        <v>0</v>
      </c>
    </row>
    <row r="53" s="10" customFormat="1" ht="27" customHeight="1" spans="2:17">
      <c r="B53" s="37" t="s">
        <v>58</v>
      </c>
      <c r="C53" s="38">
        <v>9300000</v>
      </c>
      <c r="D53" s="39">
        <v>16000000</v>
      </c>
      <c r="E53" s="40">
        <v>0</v>
      </c>
      <c r="F53" s="40">
        <v>0</v>
      </c>
      <c r="G53" s="40">
        <v>0</v>
      </c>
      <c r="H53" s="40"/>
      <c r="I53" s="40">
        <v>0</v>
      </c>
      <c r="J53" s="40"/>
      <c r="K53" s="40"/>
      <c r="L53" s="40">
        <v>0</v>
      </c>
      <c r="M53" s="40"/>
      <c r="N53" s="40">
        <v>0</v>
      </c>
      <c r="O53" s="40"/>
      <c r="P53" s="39"/>
      <c r="Q53" s="41">
        <f t="shared" si="3"/>
        <v>0</v>
      </c>
    </row>
    <row r="54" s="10" customFormat="1" ht="42" customHeight="1" spans="2:17">
      <c r="B54" s="42" t="s">
        <v>59</v>
      </c>
      <c r="C54" s="38">
        <v>1000000</v>
      </c>
      <c r="D54" s="39"/>
      <c r="E54" s="40">
        <v>0</v>
      </c>
      <c r="F54" s="40">
        <v>0</v>
      </c>
      <c r="G54" s="40"/>
      <c r="H54" s="40"/>
      <c r="I54" s="40"/>
      <c r="J54" s="40"/>
      <c r="K54" s="40">
        <v>0</v>
      </c>
      <c r="L54" s="40">
        <v>0</v>
      </c>
      <c r="M54" s="40"/>
      <c r="N54" s="40"/>
      <c r="O54" s="40">
        <v>0</v>
      </c>
      <c r="P54" s="39"/>
      <c r="Q54" s="41">
        <f t="shared" si="3"/>
        <v>0</v>
      </c>
    </row>
    <row r="55" s="10" customFormat="1" ht="27" customHeight="1" spans="2:17">
      <c r="B55" s="37" t="s">
        <v>60</v>
      </c>
      <c r="C55" s="38">
        <v>550000</v>
      </c>
      <c r="D55" s="39"/>
      <c r="E55" s="40"/>
      <c r="F55" s="40"/>
      <c r="G55" s="40"/>
      <c r="H55" s="40"/>
      <c r="I55" s="40"/>
      <c r="J55" s="40"/>
      <c r="K55" s="40">
        <v>0</v>
      </c>
      <c r="L55" s="40">
        <v>0</v>
      </c>
      <c r="M55" s="40">
        <v>0</v>
      </c>
      <c r="N55" s="40"/>
      <c r="O55" s="40">
        <v>0</v>
      </c>
      <c r="P55" s="39"/>
      <c r="Q55" s="41">
        <f t="shared" si="3"/>
        <v>0</v>
      </c>
    </row>
    <row r="56" s="10" customFormat="1" ht="38.25" customHeight="1" spans="2:17">
      <c r="B56" s="42" t="s">
        <v>61</v>
      </c>
      <c r="C56" s="38">
        <v>12120000</v>
      </c>
      <c r="D56" s="39"/>
      <c r="E56" s="40">
        <v>0</v>
      </c>
      <c r="F56" s="40">
        <v>0</v>
      </c>
      <c r="G56" s="40"/>
      <c r="H56" s="40"/>
      <c r="I56" s="40"/>
      <c r="J56" s="40"/>
      <c r="K56" s="40"/>
      <c r="L56" s="40"/>
      <c r="M56" s="40"/>
      <c r="N56" s="40"/>
      <c r="O56" s="40">
        <v>0</v>
      </c>
      <c r="P56" s="39"/>
      <c r="Q56" s="41">
        <f t="shared" si="3"/>
        <v>0</v>
      </c>
    </row>
    <row r="57" s="10" customFormat="1" ht="27" customHeight="1" spans="2:17">
      <c r="B57" s="37" t="s">
        <v>62</v>
      </c>
      <c r="C57" s="38">
        <v>8200000</v>
      </c>
      <c r="D57" s="39">
        <v>3500000</v>
      </c>
      <c r="E57" s="40"/>
      <c r="F57" s="40"/>
      <c r="G57" s="40"/>
      <c r="H57" s="40"/>
      <c r="I57" s="40">
        <v>0</v>
      </c>
      <c r="J57" s="40"/>
      <c r="K57" s="40">
        <v>0</v>
      </c>
      <c r="L57" s="40">
        <v>0</v>
      </c>
      <c r="M57" s="40"/>
      <c r="N57" s="40">
        <v>0</v>
      </c>
      <c r="O57" s="40"/>
      <c r="P57" s="39"/>
      <c r="Q57" s="41">
        <f t="shared" si="3"/>
        <v>0</v>
      </c>
    </row>
    <row r="58" s="10" customFormat="1" ht="27" customHeight="1" spans="2:17">
      <c r="B58" s="37" t="s">
        <v>63</v>
      </c>
      <c r="C58" s="38">
        <v>400000</v>
      </c>
      <c r="D58" s="39"/>
      <c r="E58" s="40"/>
      <c r="F58" s="40"/>
      <c r="G58" s="40"/>
      <c r="H58" s="40"/>
      <c r="I58" s="40">
        <v>0</v>
      </c>
      <c r="J58" s="40"/>
      <c r="K58" s="40">
        <v>0</v>
      </c>
      <c r="L58" s="40">
        <v>0</v>
      </c>
      <c r="M58" s="40"/>
      <c r="N58" s="40">
        <v>0</v>
      </c>
      <c r="O58" s="40"/>
      <c r="P58" s="39"/>
      <c r="Q58" s="41">
        <f t="shared" si="3"/>
        <v>0</v>
      </c>
    </row>
    <row r="59" s="10" customFormat="1" ht="27" customHeight="1" spans="2:17">
      <c r="B59" s="37" t="s">
        <v>64</v>
      </c>
      <c r="C59" s="38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38">
        <v>3000000</v>
      </c>
      <c r="D60" s="39"/>
      <c r="E60" s="40">
        <v>0</v>
      </c>
      <c r="F60" s="40">
        <v>0</v>
      </c>
      <c r="G60" s="40">
        <v>0</v>
      </c>
      <c r="H60" s="40"/>
      <c r="I60" s="40"/>
      <c r="J60" s="40"/>
      <c r="K60" s="40"/>
      <c r="L60" s="40"/>
      <c r="M60" s="40"/>
      <c r="N60" s="40">
        <v>0</v>
      </c>
      <c r="O60" s="40"/>
      <c r="P60" s="39"/>
      <c r="Q60" s="41">
        <f t="shared" si="3"/>
        <v>0</v>
      </c>
    </row>
    <row r="61" s="10" customFormat="1" ht="36.75" customHeight="1" spans="2:17">
      <c r="B61" s="42" t="s">
        <v>66</v>
      </c>
      <c r="C61" s="38">
        <v>500000</v>
      </c>
      <c r="D61" s="39">
        <v>4381512</v>
      </c>
      <c r="E61" s="40"/>
      <c r="F61" s="40"/>
      <c r="G61" s="40"/>
      <c r="H61" s="40"/>
      <c r="I61" s="40"/>
      <c r="J61" s="40"/>
      <c r="K61" s="40"/>
      <c r="L61" s="40"/>
      <c r="M61" s="40"/>
      <c r="N61" s="40">
        <v>0</v>
      </c>
      <c r="O61" s="40"/>
      <c r="P61" s="39"/>
      <c r="Q61" s="41">
        <f t="shared" si="3"/>
        <v>0</v>
      </c>
    </row>
    <row r="62" s="10" customFormat="1" ht="27" customHeight="1" spans="2:17">
      <c r="B62" s="33" t="s">
        <v>67</v>
      </c>
      <c r="C62" s="34">
        <f>SUM(C63:C65)</f>
        <v>3900000</v>
      </c>
      <c r="D62" s="35">
        <f>SUM(D63:D65)</f>
        <v>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v>0</v>
      </c>
      <c r="O62" s="40"/>
      <c r="P62" s="39"/>
      <c r="Q62" s="41">
        <f t="shared" si="3"/>
        <v>0</v>
      </c>
    </row>
    <row r="63" s="10" customFormat="1" ht="27" customHeight="1" spans="2:17">
      <c r="B63" s="37" t="s">
        <v>68</v>
      </c>
      <c r="C63" s="38">
        <v>3900000</v>
      </c>
      <c r="D63" s="39"/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0</v>
      </c>
      <c r="O63" s="40"/>
      <c r="P63" s="39"/>
      <c r="Q63" s="41">
        <f t="shared" si="3"/>
        <v>0</v>
      </c>
    </row>
    <row r="64" s="10" customFormat="1" ht="27" customHeight="1" spans="2:17">
      <c r="B64" s="37" t="s">
        <v>69</v>
      </c>
      <c r="C64" s="38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38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38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4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38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38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4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38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38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38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6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49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50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50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49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50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50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1:17">
      <c r="B81" s="33" t="s">
        <v>86</v>
      </c>
      <c r="C81" s="49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1:17">
      <c r="B82" s="37" t="s">
        <v>87</v>
      </c>
      <c r="C82" s="50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1:17">
      <c r="B83" s="51" t="s">
        <v>88</v>
      </c>
      <c r="C83" s="52">
        <f>+C10+C16+C26+C36+C44+C52+C62+C67+C70</f>
        <v>1024795636</v>
      </c>
      <c r="D83" s="53">
        <f>+D10+D16+D26+D36+D52+D62</f>
        <v>0</v>
      </c>
      <c r="E83" s="53">
        <f t="shared" ref="E83:P83" si="8">+E10+E16+E26+E36+E44+E52+E62+E67+E70</f>
        <v>34516386.94</v>
      </c>
      <c r="F83" s="54">
        <f t="shared" si="8"/>
        <v>0</v>
      </c>
      <c r="G83" s="54">
        <f t="shared" si="8"/>
        <v>0</v>
      </c>
      <c r="H83" s="54">
        <f t="shared" si="8"/>
        <v>0</v>
      </c>
      <c r="I83" s="54">
        <f t="shared" si="8"/>
        <v>0</v>
      </c>
      <c r="J83" s="54">
        <f t="shared" si="8"/>
        <v>0</v>
      </c>
      <c r="K83" s="54">
        <f t="shared" si="8"/>
        <v>0</v>
      </c>
      <c r="L83" s="54">
        <f t="shared" si="8"/>
        <v>0</v>
      </c>
      <c r="M83" s="54">
        <f t="shared" si="8"/>
        <v>0</v>
      </c>
      <c r="N83" s="54">
        <f t="shared" si="8"/>
        <v>0</v>
      </c>
      <c r="O83" s="54">
        <f t="shared" si="8"/>
        <v>0</v>
      </c>
      <c r="P83" s="53">
        <f t="shared" si="8"/>
        <v>0</v>
      </c>
      <c r="Q83" s="55">
        <f t="shared" si="3"/>
        <v>34516386.94</v>
      </c>
    </row>
    <row r="84" ht="18.75" spans="1:17">
      <c r="B84" s="111" t="s">
        <v>124</v>
      </c>
    </row>
    <row r="85" ht="18.75" spans="1:17">
      <c r="B85" s="112" t="s">
        <v>90</v>
      </c>
    </row>
    <row r="86" ht="37.5" spans="1:17">
      <c r="B86" s="112" t="s">
        <v>91</v>
      </c>
    </row>
    <row r="87" ht="18.75" spans="1:17">
      <c r="B87" s="112" t="s">
        <v>92</v>
      </c>
    </row>
    <row r="88" ht="18.75" spans="1:17">
      <c r="B88" s="112" t="s">
        <v>93</v>
      </c>
    </row>
    <row r="89" ht="18.75" spans="1:17">
      <c r="B89" s="112" t="s">
        <v>94</v>
      </c>
    </row>
    <row r="90" ht="18.75" spans="1:17">
      <c r="B90" s="112" t="s">
        <v>95</v>
      </c>
    </row>
    <row r="91" spans="1:17">
      <c r="B91" s="170"/>
    </row>
    <row r="92" ht="18.75" spans="1:17">
      <c r="B92" s="13"/>
    </row>
    <row r="93" ht="18.75" spans="1:17">
      <c r="B93" s="13"/>
    </row>
    <row r="94" ht="33.75" customHeight="1" spans="1:17">
      <c r="A94" s="56" t="s">
        <v>97</v>
      </c>
      <c r="B94" s="57" t="s">
        <v>125</v>
      </c>
      <c r="C94" s="58" t="s">
        <v>126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</row>
    <row r="95" ht="23.25" spans="1:17">
      <c r="B95" s="59" t="s">
        <v>127</v>
      </c>
      <c r="C95" s="60" t="s">
        <v>128</v>
      </c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</row>
    <row r="96" ht="23.25" hidden="1" spans="1:17">
      <c r="B96" s="62"/>
      <c r="C96" s="62"/>
      <c r="D96" s="62"/>
    </row>
    <row r="97" ht="23.25" spans="2:4">
      <c r="B97" s="63" t="s">
        <v>98</v>
      </c>
      <c r="C97" s="63"/>
      <c r="D97" s="63"/>
    </row>
    <row r="98" ht="21" customHeight="1" spans="2:4">
      <c r="B98" s="61" t="s">
        <v>99</v>
      </c>
      <c r="C98" s="61"/>
    </row>
    <row r="99" ht="21" spans="2:4">
      <c r="B99" s="64"/>
      <c r="C99" s="64"/>
      <c r="D99" s="64"/>
    </row>
  </sheetData>
  <mergeCells count="12">
    <mergeCell ref="B1:Q1"/>
    <mergeCell ref="B2:Q2"/>
    <mergeCell ref="B3:Q3"/>
    <mergeCell ref="B4:Q4"/>
    <mergeCell ref="E7:Q7"/>
    <mergeCell ref="C94:Q94"/>
    <mergeCell ref="C95:Q95"/>
    <mergeCell ref="B96:D96"/>
    <mergeCell ref="B99:D99"/>
    <mergeCell ref="B7:B8"/>
    <mergeCell ref="C7:C8"/>
    <mergeCell ref="D7:D8"/>
  </mergeCells>
  <printOptions horizontalCentered="1" verticalCentered="1"/>
  <pageMargins left="0.708661417322835" right="0.433070866141732" top="0.275590551181102" bottom="0.15748031496063" header="0.236220472440945" footer="0.196850393700787"/>
  <pageSetup paperSize="119" scale="38" fitToHeight="0" orientation="landscape"/>
  <headerFooter/>
  <rowBreaks count="2" manualBreakCount="2">
    <brk id="43" max="16" man="1"/>
    <brk id="95" max="16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3"/>
  <sheetViews>
    <sheetView view="pageBreakPreview" zoomScale="60" zoomScaleNormal="100" topLeftCell="B67" workbookViewId="0">
      <selection activeCell="G83" sqref="G83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4" customWidth="1"/>
    <col min="5" max="5" width="25.8571428571429" customWidth="1"/>
    <col min="6" max="6" width="21.5714285714286" customWidth="1"/>
    <col min="7" max="7" width="26.5714285714286" customWidth="1"/>
    <col min="8" max="16" width="14.5714285714286" customWidth="1"/>
    <col min="17" max="17" width="25" customWidth="1"/>
  </cols>
  <sheetData>
    <row r="1" ht="28.5" customHeight="1" spans="2:1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ht="21" customHeight="1" spans="2:1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ht="18.75" spans="2:18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ht="15.75" customHeight="1" spans="2:18">
      <c r="B4" s="19" t="s">
        <v>112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3"/>
    </row>
    <row r="5" ht="15.75" customHeight="1" spans="2:18">
      <c r="B5" s="21" t="s">
        <v>3</v>
      </c>
      <c r="C5" s="21"/>
      <c r="D5" s="21"/>
    </row>
    <row r="7" customHeight="1" spans="2:1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30" customHeight="1" spans="2:18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8">
      <c r="B9" s="30" t="s">
        <v>15</v>
      </c>
      <c r="C9" s="31">
        <f>+C10+C16+C26+C36+C44+C52+C62+C67+C70</f>
        <v>1024795636</v>
      </c>
      <c r="D9" s="32">
        <f>+D10+D16+D26+D36+D44+D52+D62+D67+D70</f>
        <v>0</v>
      </c>
      <c r="E9" s="32">
        <f t="shared" ref="E9:P9" si="0">+E10+E16+E26+E36+E44+E52+E62+E67+E70</f>
        <v>34516386.94</v>
      </c>
      <c r="F9" s="32">
        <f t="shared" si="0"/>
        <v>78356760.78</v>
      </c>
      <c r="G9" s="32">
        <f t="shared" si="0"/>
        <v>50464106.84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>+E9+F9+G9+H9+I9+J9+K9+L9+M9+N9+O9+P9</f>
        <v>163337254.56</v>
      </c>
    </row>
    <row r="10" s="10" customFormat="1" ht="27" customHeight="1" spans="2:18">
      <c r="B10" s="33" t="s">
        <v>16</v>
      </c>
      <c r="C10" s="34">
        <f>SUM(C11:C15)</f>
        <v>493015272</v>
      </c>
      <c r="D10" s="35">
        <f>SUM(D11:D15)</f>
        <v>0</v>
      </c>
      <c r="E10" s="35">
        <f t="shared" ref="E10:N10" si="1">SUM(E11:E15)</f>
        <v>31761117.39</v>
      </c>
      <c r="F10" s="35">
        <f t="shared" si="1"/>
        <v>31693384.16</v>
      </c>
      <c r="G10" s="35">
        <f t="shared" si="1"/>
        <v>32370115.09</v>
      </c>
      <c r="H10" s="35">
        <f t="shared" si="1"/>
        <v>0</v>
      </c>
      <c r="I10" s="35">
        <f t="shared" si="1"/>
        <v>0</v>
      </c>
      <c r="J10" s="35">
        <f t="shared" si="1"/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6">
        <f>+O11+O12+O13+O14+O15</f>
        <v>0</v>
      </c>
      <c r="P10" s="36">
        <f>+P11+P12+P13+P14+P15</f>
        <v>0</v>
      </c>
      <c r="Q10" s="35">
        <f>SUM(Q11:Q15)</f>
        <v>95824616.64</v>
      </c>
    </row>
    <row r="11" s="10" customFormat="1" ht="27" customHeight="1" spans="2:18">
      <c r="B11" s="37" t="s">
        <v>17</v>
      </c>
      <c r="C11" s="38">
        <v>375747353</v>
      </c>
      <c r="D11" s="39">
        <v>2160000</v>
      </c>
      <c r="E11" s="40">
        <v>26334286.2</v>
      </c>
      <c r="F11" s="40">
        <v>26255586.2</v>
      </c>
      <c r="G11" s="40">
        <v>26901888.1</v>
      </c>
      <c r="H11" s="40"/>
      <c r="I11" s="40"/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39">
        <v>0</v>
      </c>
      <c r="P11" s="39">
        <v>0</v>
      </c>
      <c r="Q11" s="41">
        <f>+E11+F11+G11+H11+I11+J11+K11+L11+M11+N11+O11+P11</f>
        <v>79491760.5</v>
      </c>
    </row>
    <row r="12" s="10" customFormat="1" ht="27" customHeight="1" spans="2:18">
      <c r="B12" s="37" t="s">
        <v>18</v>
      </c>
      <c r="C12" s="38">
        <v>67781665</v>
      </c>
      <c r="D12" s="39"/>
      <c r="E12" s="40">
        <v>1437000</v>
      </c>
      <c r="F12" s="40">
        <v>1460000</v>
      </c>
      <c r="G12" s="40">
        <v>1460000</v>
      </c>
      <c r="H12" s="40">
        <v>0</v>
      </c>
      <c r="I12" s="40"/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39">
        <v>0</v>
      </c>
      <c r="P12" s="39">
        <v>0</v>
      </c>
      <c r="Q12" s="41">
        <f>+E12+F12+G12+H12+I12+J12+K12+L12+M12+N12+O12+P12</f>
        <v>4357000</v>
      </c>
    </row>
    <row r="13" s="10" customFormat="1" ht="27" customHeight="1" spans="2:18">
      <c r="B13" s="37" t="s">
        <v>19</v>
      </c>
      <c r="C13" s="38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8">
      <c r="B14" s="37" t="s">
        <v>20</v>
      </c>
      <c r="C14" s="38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8">
      <c r="B15" s="37" t="s">
        <v>21</v>
      </c>
      <c r="C15" s="38">
        <v>49486254</v>
      </c>
      <c r="D15" s="39">
        <v>-2160000</v>
      </c>
      <c r="E15" s="40">
        <v>3989831.19</v>
      </c>
      <c r="F15" s="40">
        <v>3977797.96</v>
      </c>
      <c r="G15" s="40">
        <v>4008226.99</v>
      </c>
      <c r="H15" s="40">
        <v>0</v>
      </c>
      <c r="I15" s="40"/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39">
        <v>0</v>
      </c>
      <c r="P15" s="39">
        <v>0</v>
      </c>
      <c r="Q15" s="41">
        <f>+E15+F15+G15+H15+I15+J15+K15+L15+M15+N15+O15+P15</f>
        <v>11975856.14</v>
      </c>
    </row>
    <row r="16" s="10" customFormat="1" ht="27" customHeight="1" spans="2:18">
      <c r="B16" s="33" t="s">
        <v>22</v>
      </c>
      <c r="C16" s="34">
        <f>SUM(C17:C25)</f>
        <v>180335892</v>
      </c>
      <c r="D16" s="35">
        <f>SUM(D17:D25)</f>
        <v>-10781512</v>
      </c>
      <c r="E16" s="35">
        <f t="shared" ref="E16:P16" si="2">SUM(E17:E25)</f>
        <v>2755269.55</v>
      </c>
      <c r="F16" s="35">
        <f t="shared" si="2"/>
        <v>10551527.29</v>
      </c>
      <c r="G16" s="35">
        <f t="shared" si="2"/>
        <v>7600979.48</v>
      </c>
      <c r="H16" s="35">
        <f t="shared" si="2"/>
        <v>0</v>
      </c>
      <c r="I16" s="35">
        <f t="shared" si="2"/>
        <v>0</v>
      </c>
      <c r="J16" s="35">
        <f t="shared" si="2"/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6">
        <f>+Q17+Q18+Q19+Q20+Q21+Q22+Q23+Q24+Q25</f>
        <v>20907776.32</v>
      </c>
    </row>
    <row r="17" s="10" customFormat="1" ht="27" customHeight="1" spans="2:17">
      <c r="B17" s="37" t="s">
        <v>23</v>
      </c>
      <c r="C17" s="38">
        <v>33780000</v>
      </c>
      <c r="D17" s="39">
        <v>0</v>
      </c>
      <c r="E17" s="40">
        <v>1991078.74</v>
      </c>
      <c r="F17" s="40">
        <v>2145419.21</v>
      </c>
      <c r="G17" s="40">
        <v>2871016.63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39">
        <v>0</v>
      </c>
      <c r="P17" s="39">
        <v>0</v>
      </c>
      <c r="Q17" s="41">
        <f t="shared" ref="Q17:Q83" si="3">+E17+F17+G17+H17+I17+J17+K17+L17+M17+N17+O17+P17</f>
        <v>7007514.58</v>
      </c>
    </row>
    <row r="18" s="10" customFormat="1" ht="27" customHeight="1" spans="2:17">
      <c r="B18" s="37" t="s">
        <v>24</v>
      </c>
      <c r="C18" s="38">
        <v>5800000</v>
      </c>
      <c r="D18" s="39">
        <v>0</v>
      </c>
      <c r="E18" s="40">
        <v>0</v>
      </c>
      <c r="F18" s="40">
        <v>488754.68</v>
      </c>
      <c r="G18" s="40">
        <v>766194.3</v>
      </c>
      <c r="H18" s="40"/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39"/>
      <c r="P18" s="39">
        <v>0</v>
      </c>
      <c r="Q18" s="41">
        <f t="shared" si="3"/>
        <v>1254948.98</v>
      </c>
    </row>
    <row r="19" s="10" customFormat="1" ht="27" customHeight="1" spans="2:17">
      <c r="B19" s="37" t="s">
        <v>25</v>
      </c>
      <c r="C19" s="38">
        <v>31000000</v>
      </c>
      <c r="D19" s="39">
        <v>-10037512</v>
      </c>
      <c r="E19" s="40">
        <v>0</v>
      </c>
      <c r="F19" s="40">
        <v>273230</v>
      </c>
      <c r="G19" s="40">
        <v>142192</v>
      </c>
      <c r="H19" s="40"/>
      <c r="I19" s="40"/>
      <c r="J19" s="40"/>
      <c r="K19" s="40">
        <v>0</v>
      </c>
      <c r="L19" s="40"/>
      <c r="M19" s="40"/>
      <c r="N19" s="40"/>
      <c r="O19" s="39"/>
      <c r="P19" s="39"/>
      <c r="Q19" s="41">
        <f t="shared" si="3"/>
        <v>415422</v>
      </c>
    </row>
    <row r="20" s="10" customFormat="1" ht="27" customHeight="1" spans="2:17">
      <c r="B20" s="37" t="s">
        <v>26</v>
      </c>
      <c r="C20" s="38">
        <v>2600000</v>
      </c>
      <c r="D20" s="39"/>
      <c r="E20" s="40">
        <v>0</v>
      </c>
      <c r="F20" s="40">
        <v>28000</v>
      </c>
      <c r="G20" s="40">
        <v>0</v>
      </c>
      <c r="H20" s="40"/>
      <c r="I20" s="40"/>
      <c r="J20" s="40"/>
      <c r="K20" s="40">
        <v>0</v>
      </c>
      <c r="L20" s="40"/>
      <c r="M20" s="40"/>
      <c r="N20" s="40"/>
      <c r="O20" s="39"/>
      <c r="P20" s="39"/>
      <c r="Q20" s="41">
        <f t="shared" si="3"/>
        <v>28000</v>
      </c>
    </row>
    <row r="21" s="10" customFormat="1" ht="27" customHeight="1" spans="2:17">
      <c r="B21" s="37" t="s">
        <v>27</v>
      </c>
      <c r="C21" s="38">
        <v>13025891</v>
      </c>
      <c r="D21" s="39">
        <v>2206000</v>
      </c>
      <c r="E21" s="40">
        <v>565259.18</v>
      </c>
      <c r="F21" s="40">
        <v>1578144.83</v>
      </c>
      <c r="G21" s="40">
        <v>483435.89</v>
      </c>
      <c r="H21" s="40"/>
      <c r="I21" s="40"/>
      <c r="J21" s="40"/>
      <c r="K21" s="40"/>
      <c r="L21" s="40"/>
      <c r="M21" s="40"/>
      <c r="N21" s="40"/>
      <c r="O21" s="39"/>
      <c r="P21" s="39"/>
      <c r="Q21" s="41">
        <f t="shared" si="3"/>
        <v>2626839.9</v>
      </c>
    </row>
    <row r="22" s="10" customFormat="1" ht="27" customHeight="1" spans="2:17">
      <c r="B22" s="37" t="s">
        <v>28</v>
      </c>
      <c r="C22" s="38">
        <v>12600000</v>
      </c>
      <c r="D22" s="39"/>
      <c r="E22" s="40"/>
      <c r="F22" s="40">
        <v>1369799.12</v>
      </c>
      <c r="G22" s="40">
        <v>746770.61</v>
      </c>
      <c r="H22" s="40"/>
      <c r="I22" s="40"/>
      <c r="J22" s="40"/>
      <c r="K22" s="40"/>
      <c r="L22" s="40"/>
      <c r="M22" s="40"/>
      <c r="N22" s="40"/>
      <c r="O22" s="39"/>
      <c r="P22" s="39"/>
      <c r="Q22" s="41">
        <f t="shared" si="3"/>
        <v>2116569.73</v>
      </c>
    </row>
    <row r="23" s="10" customFormat="1" ht="45.75" customHeight="1" spans="2:17">
      <c r="B23" s="42" t="s">
        <v>29</v>
      </c>
      <c r="C23" s="38">
        <v>29590000</v>
      </c>
      <c r="D23" s="39"/>
      <c r="E23" s="40">
        <v>0</v>
      </c>
      <c r="F23" s="40">
        <v>843209.61</v>
      </c>
      <c r="G23" s="40">
        <v>239337.94</v>
      </c>
      <c r="H23" s="40"/>
      <c r="I23" s="40"/>
      <c r="J23" s="40"/>
      <c r="K23" s="40"/>
      <c r="L23" s="40"/>
      <c r="M23" s="40"/>
      <c r="N23" s="40"/>
      <c r="O23" s="39"/>
      <c r="P23" s="39"/>
      <c r="Q23" s="41">
        <f t="shared" si="3"/>
        <v>1082547.55</v>
      </c>
    </row>
    <row r="24" s="10" customFormat="1" ht="43.5" customHeight="1" spans="2:17">
      <c r="B24" s="42" t="s">
        <v>30</v>
      </c>
      <c r="C24" s="38">
        <v>30340000</v>
      </c>
      <c r="D24" s="39">
        <v>-4450000</v>
      </c>
      <c r="E24" s="40">
        <v>198931.63</v>
      </c>
      <c r="F24" s="40">
        <v>1382086.64</v>
      </c>
      <c r="G24" s="40">
        <v>418720.11</v>
      </c>
      <c r="H24" s="40"/>
      <c r="I24" s="40"/>
      <c r="J24" s="40"/>
      <c r="K24" s="40"/>
      <c r="L24" s="40"/>
      <c r="M24" s="40"/>
      <c r="N24" s="40"/>
      <c r="O24" s="39"/>
      <c r="P24" s="39"/>
      <c r="Q24" s="41">
        <f t="shared" si="3"/>
        <v>1999738.38</v>
      </c>
    </row>
    <row r="25" s="10" customFormat="1" ht="27" customHeight="1" spans="2:17">
      <c r="B25" s="37" t="s">
        <v>31</v>
      </c>
      <c r="C25" s="38">
        <v>21600001</v>
      </c>
      <c r="D25" s="39">
        <v>1500000</v>
      </c>
      <c r="E25" s="40"/>
      <c r="F25" s="40">
        <v>2442883.2</v>
      </c>
      <c r="G25" s="40">
        <v>1933312</v>
      </c>
      <c r="H25" s="40"/>
      <c r="I25" s="40">
        <v>0</v>
      </c>
      <c r="J25" s="40"/>
      <c r="K25" s="40">
        <v>0</v>
      </c>
      <c r="L25" s="40">
        <v>0</v>
      </c>
      <c r="M25" s="40"/>
      <c r="N25" s="40">
        <v>0</v>
      </c>
      <c r="O25" s="43"/>
      <c r="P25" s="39"/>
      <c r="Q25" s="41">
        <f t="shared" si="3"/>
        <v>4376195.2</v>
      </c>
    </row>
    <row r="26" s="10" customFormat="1" ht="27" customHeight="1" spans="2:17">
      <c r="B26" s="33" t="s">
        <v>32</v>
      </c>
      <c r="C26" s="34">
        <f>SUM(C27:C35)</f>
        <v>309474472</v>
      </c>
      <c r="D26" s="35">
        <f>SUM(D27:D35)</f>
        <v>-13320000</v>
      </c>
      <c r="E26" s="35">
        <f t="shared" ref="E26:P26" si="4">SUM(E27:E35)</f>
        <v>0</v>
      </c>
      <c r="F26" s="35">
        <f t="shared" si="4"/>
        <v>34303911.8</v>
      </c>
      <c r="G26" s="35">
        <f t="shared" si="4"/>
        <v>5893318.05</v>
      </c>
      <c r="H26" s="35">
        <f t="shared" si="4"/>
        <v>0</v>
      </c>
      <c r="I26" s="35">
        <f t="shared" si="4"/>
        <v>0</v>
      </c>
      <c r="J26" s="35">
        <f t="shared" si="4"/>
        <v>0</v>
      </c>
      <c r="K26" s="35">
        <f t="shared" si="4"/>
        <v>0</v>
      </c>
      <c r="L26" s="35">
        <f t="shared" si="4"/>
        <v>0</v>
      </c>
      <c r="M26" s="35">
        <f t="shared" si="4"/>
        <v>0</v>
      </c>
      <c r="N26" s="35">
        <f t="shared" si="4"/>
        <v>0</v>
      </c>
      <c r="O26" s="35">
        <f t="shared" si="4"/>
        <v>0</v>
      </c>
      <c r="P26" s="35">
        <f t="shared" si="4"/>
        <v>0</v>
      </c>
      <c r="Q26" s="36">
        <f>+Q27+Q28+Q29+Q30+Q31+Q33+Q32+Q34+Q35+Q36+Q37</f>
        <v>40197229.85</v>
      </c>
    </row>
    <row r="27" s="10" customFormat="1" ht="27" customHeight="1" spans="2:17">
      <c r="B27" s="37" t="s">
        <v>33</v>
      </c>
      <c r="C27" s="38">
        <v>7700000</v>
      </c>
      <c r="D27" s="39">
        <v>-3980000</v>
      </c>
      <c r="E27" s="40">
        <v>0</v>
      </c>
      <c r="F27" s="40">
        <v>33830</v>
      </c>
      <c r="G27" s="40">
        <v>0</v>
      </c>
      <c r="H27" s="40"/>
      <c r="I27" s="40"/>
      <c r="J27" s="40">
        <v>0</v>
      </c>
      <c r="K27" s="40"/>
      <c r="L27" s="40">
        <v>0</v>
      </c>
      <c r="M27" s="40"/>
      <c r="N27" s="40"/>
      <c r="O27" s="40"/>
      <c r="P27" s="39"/>
      <c r="Q27" s="41">
        <f t="shared" si="3"/>
        <v>33830</v>
      </c>
    </row>
    <row r="28" s="10" customFormat="1" ht="27" customHeight="1" spans="2:17">
      <c r="B28" s="37" t="s">
        <v>34</v>
      </c>
      <c r="C28" s="38">
        <v>10700000</v>
      </c>
      <c r="D28" s="39">
        <v>50000</v>
      </c>
      <c r="E28" s="40">
        <v>0</v>
      </c>
      <c r="F28" s="40">
        <v>156940</v>
      </c>
      <c r="G28" s="40">
        <v>76700</v>
      </c>
      <c r="H28" s="40"/>
      <c r="I28" s="40"/>
      <c r="J28" s="40">
        <v>0</v>
      </c>
      <c r="K28" s="40">
        <v>0</v>
      </c>
      <c r="L28" s="40">
        <v>0</v>
      </c>
      <c r="M28" s="40"/>
      <c r="N28" s="40">
        <v>0</v>
      </c>
      <c r="O28" s="40"/>
      <c r="P28" s="39"/>
      <c r="Q28" s="41">
        <f t="shared" si="3"/>
        <v>233640</v>
      </c>
    </row>
    <row r="29" s="10" customFormat="1" ht="27" customHeight="1" spans="2:17">
      <c r="B29" s="37" t="s">
        <v>35</v>
      </c>
      <c r="C29" s="38">
        <v>228422500</v>
      </c>
      <c r="D29" s="39">
        <v>-10000000</v>
      </c>
      <c r="E29" s="40">
        <v>0</v>
      </c>
      <c r="F29" s="40">
        <v>33400000</v>
      </c>
      <c r="G29" s="40">
        <v>0</v>
      </c>
      <c r="H29" s="40"/>
      <c r="I29" s="40"/>
      <c r="J29" s="40">
        <v>0</v>
      </c>
      <c r="K29" s="40">
        <v>0</v>
      </c>
      <c r="L29" s="40">
        <v>0</v>
      </c>
      <c r="M29" s="40"/>
      <c r="N29" s="40"/>
      <c r="O29" s="40"/>
      <c r="P29" s="39"/>
      <c r="Q29" s="41">
        <f t="shared" si="3"/>
        <v>33400000</v>
      </c>
    </row>
    <row r="30" s="10" customFormat="1" ht="27" customHeight="1" spans="2:17">
      <c r="B30" s="37" t="s">
        <v>36</v>
      </c>
      <c r="C30" s="38">
        <v>3499999</v>
      </c>
      <c r="D30" s="39"/>
      <c r="E30" s="40">
        <v>0</v>
      </c>
      <c r="F30" s="40"/>
      <c r="G30" s="40">
        <v>0</v>
      </c>
      <c r="H30" s="40"/>
      <c r="I30" s="40"/>
      <c r="J30" s="40">
        <v>0</v>
      </c>
      <c r="K30" s="40">
        <v>0</v>
      </c>
      <c r="L30" s="40">
        <v>0</v>
      </c>
      <c r="M30" s="40"/>
      <c r="N30" s="40"/>
      <c r="O30" s="40"/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38">
        <v>3010000</v>
      </c>
      <c r="D31" s="39">
        <v>-1300000</v>
      </c>
      <c r="E31" s="40">
        <v>0</v>
      </c>
      <c r="F31" s="40">
        <v>15750</v>
      </c>
      <c r="G31" s="40">
        <v>0</v>
      </c>
      <c r="H31" s="40"/>
      <c r="I31" s="40"/>
      <c r="J31" s="40"/>
      <c r="K31" s="40">
        <v>0</v>
      </c>
      <c r="L31" s="40">
        <v>0</v>
      </c>
      <c r="M31" s="40"/>
      <c r="N31" s="40"/>
      <c r="O31" s="40"/>
      <c r="P31" s="39"/>
      <c r="Q31" s="41">
        <f t="shared" si="3"/>
        <v>15750</v>
      </c>
    </row>
    <row r="32" s="10" customFormat="1" ht="42" customHeight="1" spans="2:17">
      <c r="B32" s="37" t="s">
        <v>38</v>
      </c>
      <c r="C32" s="38">
        <v>290000</v>
      </c>
      <c r="D32" s="39">
        <v>410000</v>
      </c>
      <c r="E32" s="40">
        <v>0</v>
      </c>
      <c r="F32" s="40"/>
      <c r="G32" s="40">
        <v>0</v>
      </c>
      <c r="H32" s="40"/>
      <c r="I32" s="40"/>
      <c r="J32" s="40"/>
      <c r="K32" s="40">
        <v>0</v>
      </c>
      <c r="L32" s="40">
        <v>0</v>
      </c>
      <c r="M32" s="40"/>
      <c r="N32" s="40"/>
      <c r="O32" s="40"/>
      <c r="P32" s="39"/>
      <c r="Q32" s="41">
        <f t="shared" si="3"/>
        <v>0</v>
      </c>
    </row>
    <row r="33" s="10" customFormat="1" ht="39" customHeight="1" spans="2:17">
      <c r="B33" s="42" t="s">
        <v>39</v>
      </c>
      <c r="C33" s="38">
        <v>15595000</v>
      </c>
      <c r="D33" s="39"/>
      <c r="E33" s="40">
        <v>0</v>
      </c>
      <c r="F33" s="40"/>
      <c r="G33" s="40">
        <v>5760000</v>
      </c>
      <c r="H33" s="40"/>
      <c r="I33" s="40"/>
      <c r="J33" s="40"/>
      <c r="K33" s="40">
        <v>0</v>
      </c>
      <c r="L33" s="40">
        <v>0</v>
      </c>
      <c r="M33" s="40"/>
      <c r="N33" s="40">
        <v>0</v>
      </c>
      <c r="O33" s="40"/>
      <c r="P33" s="39"/>
      <c r="Q33" s="41">
        <f t="shared" si="3"/>
        <v>5760000</v>
      </c>
    </row>
    <row r="34" s="10" customFormat="1" ht="39.75" customHeight="1" spans="2:17">
      <c r="B34" s="42" t="s">
        <v>40</v>
      </c>
      <c r="C34" s="38"/>
      <c r="D34" s="39"/>
      <c r="E34" s="40"/>
      <c r="F34" s="40"/>
      <c r="G34" s="40"/>
      <c r="H34" s="40"/>
      <c r="I34" s="40"/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38">
        <v>40256973</v>
      </c>
      <c r="D35" s="39">
        <v>1500000</v>
      </c>
      <c r="E35" s="40">
        <v>0</v>
      </c>
      <c r="F35" s="40">
        <v>697391.8</v>
      </c>
      <c r="G35" s="40">
        <v>56618.05</v>
      </c>
      <c r="H35" s="40"/>
      <c r="I35" s="40"/>
      <c r="J35" s="40"/>
      <c r="K35" s="40"/>
      <c r="L35" s="40"/>
      <c r="M35" s="40"/>
      <c r="N35" s="40"/>
      <c r="O35" s="40"/>
      <c r="P35" s="39"/>
      <c r="Q35" s="41">
        <f t="shared" si="3"/>
        <v>754009.85</v>
      </c>
    </row>
    <row r="36" s="10" customFormat="1" ht="27" customHeight="1" spans="2:17">
      <c r="B36" s="33" t="s">
        <v>42</v>
      </c>
      <c r="C36" s="34">
        <f>SUM(C37:C42)</f>
        <v>3000000</v>
      </c>
      <c r="D36" s="35">
        <f>SUM(D37:D42)</f>
        <v>0</v>
      </c>
      <c r="E36" s="35">
        <f t="shared" ref="E36:M36" si="5">SUM(E37:E42)</f>
        <v>0</v>
      </c>
      <c r="F36" s="35"/>
      <c r="G36" s="35">
        <f t="shared" si="5"/>
        <v>0</v>
      </c>
      <c r="H36" s="35">
        <f t="shared" si="5"/>
        <v>0</v>
      </c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38">
        <v>3000000</v>
      </c>
      <c r="D37" s="39"/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3"/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38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3"/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38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3"/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38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3"/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38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3"/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38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3"/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38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3"/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4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3"/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38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3"/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38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3"/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38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3"/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38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3"/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38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3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38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3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38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3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4">
        <f>SUM(C53:C61)</f>
        <v>35070000</v>
      </c>
      <c r="D52" s="35">
        <f>SUM(D53:D61)</f>
        <v>24101512</v>
      </c>
      <c r="E52" s="35">
        <f t="shared" ref="E52:P52" si="6">SUM(E53:E61)</f>
        <v>0</v>
      </c>
      <c r="F52" s="35">
        <f t="shared" si="6"/>
        <v>1807937.53</v>
      </c>
      <c r="G52" s="35">
        <f t="shared" si="6"/>
        <v>4599694.22</v>
      </c>
      <c r="H52" s="35">
        <f t="shared" si="6"/>
        <v>0</v>
      </c>
      <c r="I52" s="35">
        <f t="shared" si="6"/>
        <v>0</v>
      </c>
      <c r="J52" s="35">
        <f t="shared" si="6"/>
        <v>0</v>
      </c>
      <c r="K52" s="35">
        <f t="shared" si="6"/>
        <v>0</v>
      </c>
      <c r="L52" s="35">
        <f t="shared" si="6"/>
        <v>0</v>
      </c>
      <c r="M52" s="35">
        <f t="shared" si="6"/>
        <v>0</v>
      </c>
      <c r="N52" s="35">
        <f t="shared" si="6"/>
        <v>0</v>
      </c>
      <c r="O52" s="35">
        <f t="shared" si="6"/>
        <v>0</v>
      </c>
      <c r="P52" s="35">
        <f t="shared" si="6"/>
        <v>0</v>
      </c>
      <c r="Q52" s="36">
        <f>+Q53+Q54+Q55+Q56+Q57+Q58+Q59+Q60+Q61</f>
        <v>6407631.75</v>
      </c>
    </row>
    <row r="53" s="10" customFormat="1" ht="27" customHeight="1" spans="2:17">
      <c r="B53" s="37" t="s">
        <v>58</v>
      </c>
      <c r="C53" s="38">
        <v>9300000</v>
      </c>
      <c r="D53" s="39">
        <v>16000000</v>
      </c>
      <c r="E53" s="40">
        <v>0</v>
      </c>
      <c r="F53" s="40">
        <v>1746558.53</v>
      </c>
      <c r="G53" s="40">
        <v>218182</v>
      </c>
      <c r="H53" s="40"/>
      <c r="I53" s="40">
        <v>0</v>
      </c>
      <c r="J53" s="40"/>
      <c r="K53" s="40"/>
      <c r="L53" s="40">
        <v>0</v>
      </c>
      <c r="M53" s="40"/>
      <c r="N53" s="40">
        <v>0</v>
      </c>
      <c r="O53" s="40"/>
      <c r="P53" s="39"/>
      <c r="Q53" s="41">
        <f t="shared" si="3"/>
        <v>1964740.53</v>
      </c>
    </row>
    <row r="54" s="10" customFormat="1" ht="42" customHeight="1" spans="2:17">
      <c r="B54" s="42" t="s">
        <v>59</v>
      </c>
      <c r="C54" s="38">
        <v>1000000</v>
      </c>
      <c r="D54" s="39"/>
      <c r="E54" s="40">
        <v>0</v>
      </c>
      <c r="F54" s="40">
        <v>61379</v>
      </c>
      <c r="G54" s="40">
        <v>0</v>
      </c>
      <c r="H54" s="40"/>
      <c r="I54" s="40"/>
      <c r="J54" s="40"/>
      <c r="K54" s="40">
        <v>0</v>
      </c>
      <c r="L54" s="40">
        <v>0</v>
      </c>
      <c r="M54" s="40"/>
      <c r="N54" s="40"/>
      <c r="O54" s="40">
        <v>0</v>
      </c>
      <c r="P54" s="39"/>
      <c r="Q54" s="41">
        <f t="shared" si="3"/>
        <v>61379</v>
      </c>
    </row>
    <row r="55" s="10" customFormat="1" ht="27" customHeight="1" spans="2:17">
      <c r="B55" s="37" t="s">
        <v>60</v>
      </c>
      <c r="C55" s="38">
        <v>550000</v>
      </c>
      <c r="D55" s="39"/>
      <c r="E55" s="40"/>
      <c r="F55" s="40"/>
      <c r="G55" s="40"/>
      <c r="H55" s="40"/>
      <c r="I55" s="40"/>
      <c r="J55" s="40"/>
      <c r="K55" s="40">
        <v>0</v>
      </c>
      <c r="L55" s="40">
        <v>0</v>
      </c>
      <c r="M55" s="40">
        <v>0</v>
      </c>
      <c r="N55" s="40"/>
      <c r="O55" s="40">
        <v>0</v>
      </c>
      <c r="P55" s="39"/>
      <c r="Q55" s="41">
        <f t="shared" si="3"/>
        <v>0</v>
      </c>
    </row>
    <row r="56" s="10" customFormat="1" ht="38.25" customHeight="1" spans="2:17">
      <c r="B56" s="42" t="s">
        <v>61</v>
      </c>
      <c r="C56" s="38">
        <v>12120000</v>
      </c>
      <c r="D56" s="39">
        <v>20000</v>
      </c>
      <c r="E56" s="40">
        <v>0</v>
      </c>
      <c r="F56" s="40">
        <v>0</v>
      </c>
      <c r="G56" s="40"/>
      <c r="H56" s="40"/>
      <c r="I56" s="40"/>
      <c r="J56" s="40"/>
      <c r="K56" s="40"/>
      <c r="L56" s="40"/>
      <c r="M56" s="40"/>
      <c r="N56" s="40"/>
      <c r="O56" s="40">
        <v>0</v>
      </c>
      <c r="P56" s="39"/>
      <c r="Q56" s="41">
        <f t="shared" si="3"/>
        <v>0</v>
      </c>
    </row>
    <row r="57" s="10" customFormat="1" ht="27" customHeight="1" spans="2:17">
      <c r="B57" s="37" t="s">
        <v>62</v>
      </c>
      <c r="C57" s="38">
        <v>8200000</v>
      </c>
      <c r="D57" s="39">
        <v>3700000</v>
      </c>
      <c r="E57" s="40"/>
      <c r="F57" s="40"/>
      <c r="G57" s="40"/>
      <c r="H57" s="40"/>
      <c r="I57" s="40">
        <v>0</v>
      </c>
      <c r="J57" s="40"/>
      <c r="K57" s="40">
        <v>0</v>
      </c>
      <c r="L57" s="40">
        <v>0</v>
      </c>
      <c r="M57" s="40"/>
      <c r="N57" s="40">
        <v>0</v>
      </c>
      <c r="O57" s="40"/>
      <c r="P57" s="39"/>
      <c r="Q57" s="41">
        <f t="shared" si="3"/>
        <v>0</v>
      </c>
    </row>
    <row r="58" s="10" customFormat="1" ht="27" customHeight="1" spans="2:17">
      <c r="B58" s="37" t="s">
        <v>63</v>
      </c>
      <c r="C58" s="38">
        <v>400000</v>
      </c>
      <c r="D58" s="39"/>
      <c r="E58" s="40"/>
      <c r="F58" s="40"/>
      <c r="G58" s="40"/>
      <c r="H58" s="40"/>
      <c r="I58" s="40">
        <v>0</v>
      </c>
      <c r="J58" s="40"/>
      <c r="K58" s="40">
        <v>0</v>
      </c>
      <c r="L58" s="40">
        <v>0</v>
      </c>
      <c r="M58" s="40"/>
      <c r="N58" s="40">
        <v>0</v>
      </c>
      <c r="O58" s="40"/>
      <c r="P58" s="39"/>
      <c r="Q58" s="41">
        <f t="shared" si="3"/>
        <v>0</v>
      </c>
    </row>
    <row r="59" s="10" customFormat="1" ht="27" customHeight="1" spans="2:17">
      <c r="B59" s="37" t="s">
        <v>64</v>
      </c>
      <c r="C59" s="38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38">
        <v>3000000</v>
      </c>
      <c r="D60" s="39"/>
      <c r="E60" s="40">
        <v>0</v>
      </c>
      <c r="F60" s="40">
        <v>0</v>
      </c>
      <c r="G60" s="40">
        <v>0</v>
      </c>
      <c r="H60" s="40"/>
      <c r="I60" s="40"/>
      <c r="J60" s="40"/>
      <c r="K60" s="40"/>
      <c r="L60" s="40"/>
      <c r="M60" s="40"/>
      <c r="N60" s="40">
        <v>0</v>
      </c>
      <c r="O60" s="40"/>
      <c r="P60" s="39"/>
      <c r="Q60" s="41">
        <f t="shared" si="3"/>
        <v>0</v>
      </c>
    </row>
    <row r="61" s="10" customFormat="1" ht="36.75" customHeight="1" spans="2:17">
      <c r="B61" s="42" t="s">
        <v>66</v>
      </c>
      <c r="C61" s="38">
        <v>500000</v>
      </c>
      <c r="D61" s="39">
        <v>4381512</v>
      </c>
      <c r="E61" s="40"/>
      <c r="F61" s="40"/>
      <c r="G61" s="40">
        <v>4381512.22</v>
      </c>
      <c r="H61" s="40"/>
      <c r="I61" s="40"/>
      <c r="J61" s="40"/>
      <c r="K61" s="40"/>
      <c r="L61" s="40"/>
      <c r="M61" s="40"/>
      <c r="N61" s="40">
        <v>0</v>
      </c>
      <c r="O61" s="40"/>
      <c r="P61" s="39"/>
      <c r="Q61" s="41">
        <f t="shared" si="3"/>
        <v>4381512.22</v>
      </c>
    </row>
    <row r="62" s="10" customFormat="1" ht="27" customHeight="1" spans="2:17">
      <c r="B62" s="33" t="s">
        <v>67</v>
      </c>
      <c r="C62" s="34">
        <f>SUM(C63:C65)</f>
        <v>3900000</v>
      </c>
      <c r="D62" s="35">
        <f>SUM(D63:D65)</f>
        <v>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v>0</v>
      </c>
      <c r="O62" s="40"/>
      <c r="P62" s="39"/>
      <c r="Q62" s="41">
        <f t="shared" si="3"/>
        <v>0</v>
      </c>
    </row>
    <row r="63" s="10" customFormat="1" ht="27" customHeight="1" spans="2:17">
      <c r="B63" s="37" t="s">
        <v>68</v>
      </c>
      <c r="C63" s="38">
        <v>3900000</v>
      </c>
      <c r="D63" s="39"/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0</v>
      </c>
      <c r="O63" s="40"/>
      <c r="P63" s="39"/>
      <c r="Q63" s="41">
        <f t="shared" si="3"/>
        <v>0</v>
      </c>
    </row>
    <row r="64" s="10" customFormat="1" ht="27" customHeight="1" spans="2:17">
      <c r="B64" s="37" t="s">
        <v>69</v>
      </c>
      <c r="C64" s="38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38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38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4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38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38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4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38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38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38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6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49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50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50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49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50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50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2:17">
      <c r="B81" s="33" t="s">
        <v>86</v>
      </c>
      <c r="C81" s="49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2:17">
      <c r="B82" s="37" t="s">
        <v>87</v>
      </c>
      <c r="C82" s="50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2:17">
      <c r="B83" s="51" t="s">
        <v>88</v>
      </c>
      <c r="C83" s="52">
        <f>+C10+C16+C26+C36+C44+C52+C62+C67+C70</f>
        <v>1024795636</v>
      </c>
      <c r="D83" s="53">
        <f>+D10+D16+D26+D36+D52+D62</f>
        <v>0</v>
      </c>
      <c r="E83" s="53">
        <f t="shared" ref="E83:P83" si="8">+E10+E16+E26+E36+E44+E52+E62+E67+E70</f>
        <v>34516386.94</v>
      </c>
      <c r="F83" s="54">
        <f t="shared" si="8"/>
        <v>78356760.78</v>
      </c>
      <c r="G83" s="53">
        <f t="shared" si="8"/>
        <v>50464106.84</v>
      </c>
      <c r="H83" s="54">
        <f t="shared" si="8"/>
        <v>0</v>
      </c>
      <c r="I83" s="54">
        <f t="shared" si="8"/>
        <v>0</v>
      </c>
      <c r="J83" s="54">
        <f t="shared" si="8"/>
        <v>0</v>
      </c>
      <c r="K83" s="54">
        <f t="shared" si="8"/>
        <v>0</v>
      </c>
      <c r="L83" s="54">
        <f t="shared" si="8"/>
        <v>0</v>
      </c>
      <c r="M83" s="54">
        <f t="shared" si="8"/>
        <v>0</v>
      </c>
      <c r="N83" s="54">
        <f t="shared" si="8"/>
        <v>0</v>
      </c>
      <c r="O83" s="54">
        <f t="shared" si="8"/>
        <v>0</v>
      </c>
      <c r="P83" s="53">
        <f t="shared" si="8"/>
        <v>0</v>
      </c>
      <c r="Q83" s="55">
        <f t="shared" si="3"/>
        <v>163337254.56</v>
      </c>
    </row>
    <row r="84" ht="18.75" spans="2:17">
      <c r="B84" s="111" t="s">
        <v>124</v>
      </c>
    </row>
    <row r="85" ht="18.75" spans="2:17">
      <c r="B85" s="112" t="s">
        <v>90</v>
      </c>
    </row>
    <row r="86" ht="37.5" spans="2:17">
      <c r="B86" s="112" t="s">
        <v>91</v>
      </c>
    </row>
    <row r="87" ht="18.75" spans="2:17">
      <c r="B87" s="112" t="s">
        <v>92</v>
      </c>
    </row>
    <row r="88" ht="18.75" spans="2:17">
      <c r="B88" s="112" t="s">
        <v>93</v>
      </c>
    </row>
    <row r="89" ht="18.75" spans="2:17">
      <c r="B89" s="112" t="s">
        <v>94</v>
      </c>
    </row>
    <row r="90" ht="18.75" spans="2:17">
      <c r="B90" s="112" t="s">
        <v>95</v>
      </c>
    </row>
    <row r="91" ht="18.75" spans="2:17">
      <c r="B91" s="13"/>
    </row>
    <row r="92" ht="18.75" spans="2:17">
      <c r="B92" s="13"/>
    </row>
    <row r="93" ht="18.75" spans="2:17">
      <c r="B93" s="13"/>
    </row>
    <row r="94" ht="37.5" customHeight="1" spans="2:17">
      <c r="B94" s="62" t="s">
        <v>129</v>
      </c>
      <c r="H94" s="57"/>
      <c r="I94" s="57"/>
      <c r="J94" s="57"/>
      <c r="K94" s="58" t="s">
        <v>125</v>
      </c>
      <c r="L94" s="58"/>
      <c r="M94" s="58"/>
      <c r="N94" s="58"/>
    </row>
    <row r="95" ht="23.25" spans="2:17">
      <c r="B95" s="60" t="s">
        <v>130</v>
      </c>
      <c r="H95" s="169"/>
      <c r="I95" s="169"/>
      <c r="J95" s="169"/>
      <c r="K95" s="59" t="s">
        <v>131</v>
      </c>
      <c r="L95" s="59"/>
      <c r="M95" s="59"/>
      <c r="N95" s="59"/>
    </row>
    <row r="97" ht="33.75" customHeight="1" spans="1:17">
      <c r="A97" s="56" t="s">
        <v>97</v>
      </c>
      <c r="D97" s="58" t="s">
        <v>126</v>
      </c>
      <c r="E97" s="58"/>
      <c r="F97" s="5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ht="23.25" spans="1:17">
      <c r="D98" s="60" t="s">
        <v>132</v>
      </c>
      <c r="E98" s="60"/>
      <c r="F98" s="60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</row>
    <row r="99" ht="23.25" spans="1:17">
      <c r="B99" s="61"/>
      <c r="C99" s="61"/>
      <c r="D99" s="61"/>
    </row>
    <row r="100" ht="23.25" spans="1:17">
      <c r="B100" s="62"/>
      <c r="C100" s="62"/>
      <c r="D100" s="62"/>
    </row>
    <row r="101" ht="23.25" spans="1:17">
      <c r="B101" s="63" t="s">
        <v>98</v>
      </c>
      <c r="C101" s="63"/>
      <c r="D101" s="63"/>
    </row>
    <row r="102" ht="21" customHeight="1" spans="1:17">
      <c r="B102" s="61" t="s">
        <v>99</v>
      </c>
      <c r="C102" s="61"/>
    </row>
    <row r="103" ht="21" spans="1:17">
      <c r="B103" s="64"/>
      <c r="C103" s="64"/>
      <c r="D103" s="64"/>
    </row>
  </sheetData>
  <mergeCells count="14">
    <mergeCell ref="B1:Q1"/>
    <mergeCell ref="B2:Q2"/>
    <mergeCell ref="B3:Q3"/>
    <mergeCell ref="B4:Q4"/>
    <mergeCell ref="E7:Q7"/>
    <mergeCell ref="K94:N94"/>
    <mergeCell ref="K95:N95"/>
    <mergeCell ref="D97:F97"/>
    <mergeCell ref="D98:F98"/>
    <mergeCell ref="B100:D100"/>
    <mergeCell ref="B103:D103"/>
    <mergeCell ref="B7:B8"/>
    <mergeCell ref="C7:C8"/>
    <mergeCell ref="D7:D8"/>
  </mergeCells>
  <pageMargins left="1.07" right="0.27" top="0.39" bottom="0.5" header="0.27" footer="0.31496062992126"/>
  <pageSetup paperSize="119" scale="39" orientation="landscape"/>
  <headerFooter/>
  <colBreaks count="1" manualBreakCount="1">
    <brk id="17" max="1048575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3"/>
  <sheetViews>
    <sheetView view="pageBreakPreview" zoomScale="60" zoomScaleNormal="100" topLeftCell="B1" workbookViewId="0">
      <selection activeCell="B1" sqref="$A1:$XFD1048576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4" customWidth="1"/>
    <col min="5" max="5" width="25.8571428571429" customWidth="1"/>
    <col min="6" max="6" width="21.5714285714286" customWidth="1"/>
    <col min="7" max="7" width="26.5714285714286" customWidth="1"/>
    <col min="8" max="8" width="28.5714285714286" customWidth="1"/>
    <col min="9" max="9" width="26.2857142857143" customWidth="1"/>
    <col min="10" max="16" width="14.5714285714286" customWidth="1"/>
    <col min="17" max="17" width="25" customWidth="1"/>
  </cols>
  <sheetData>
    <row r="1" ht="28.5" customHeight="1" spans="2:1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ht="21" customHeight="1" spans="2:1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ht="18.75" spans="2:18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ht="15.75" customHeight="1" spans="2:18">
      <c r="B4" s="19" t="s">
        <v>112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3"/>
    </row>
    <row r="5" ht="15.75" customHeight="1" spans="2:18">
      <c r="B5" s="21" t="s">
        <v>3</v>
      </c>
      <c r="C5" s="21"/>
      <c r="D5" s="21"/>
    </row>
    <row r="7" customHeight="1" spans="2:1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30" customHeight="1" spans="2:18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8">
      <c r="B9" s="30" t="s">
        <v>15</v>
      </c>
      <c r="C9" s="32">
        <f>+C10+C16+C26+C36+C44+C52+C62+C67+C70</f>
        <v>1024795636</v>
      </c>
      <c r="D9" s="32">
        <f>+D10+D16+D26+D36+D44+D52+D62+D67+D70</f>
        <v>0</v>
      </c>
      <c r="E9" s="32">
        <f t="shared" ref="E9:P9" si="0">+E10+E16+E26+E36+E44+E52+E62+E67+E70</f>
        <v>34516386.94</v>
      </c>
      <c r="F9" s="32">
        <f t="shared" si="0"/>
        <v>78356760.78</v>
      </c>
      <c r="G9" s="32">
        <f t="shared" si="0"/>
        <v>50464106.84</v>
      </c>
      <c r="H9" s="32">
        <f t="shared" si="0"/>
        <v>136014282.98</v>
      </c>
      <c r="I9" s="32">
        <f t="shared" si="0"/>
        <v>58612964.84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>+E9+F9+G9+H9+I9+J9+K9+L9+M9+N9+O9+P9</f>
        <v>357964502.38</v>
      </c>
    </row>
    <row r="10" s="10" customFormat="1" ht="27" customHeight="1" spans="2:18">
      <c r="B10" s="33" t="s">
        <v>16</v>
      </c>
      <c r="C10" s="35">
        <f>SUM(C11:C15)</f>
        <v>493015272</v>
      </c>
      <c r="D10" s="35">
        <f>SUM(D11:D15)</f>
        <v>0</v>
      </c>
      <c r="E10" s="35">
        <f t="shared" ref="E10:N10" si="1">SUM(E11:E15)</f>
        <v>31761117.39</v>
      </c>
      <c r="F10" s="35">
        <f t="shared" si="1"/>
        <v>31693384.16</v>
      </c>
      <c r="G10" s="35">
        <f t="shared" si="1"/>
        <v>32370115.09</v>
      </c>
      <c r="H10" s="35">
        <f t="shared" si="1"/>
        <v>54017968.43</v>
      </c>
      <c r="I10" s="35">
        <f t="shared" si="1"/>
        <v>32579590.52</v>
      </c>
      <c r="J10" s="35">
        <f t="shared" si="1"/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6">
        <f>+O11+O12+O13+O14+O15</f>
        <v>0</v>
      </c>
      <c r="P10" s="36">
        <f>+P11+P12+P13+P14+P15</f>
        <v>0</v>
      </c>
      <c r="Q10" s="35">
        <f>SUM(Q11:Q15)</f>
        <v>182422175.59</v>
      </c>
    </row>
    <row r="11" s="10" customFormat="1" ht="27" customHeight="1" spans="2:18">
      <c r="B11" s="37" t="s">
        <v>17</v>
      </c>
      <c r="C11" s="40">
        <v>375747353</v>
      </c>
      <c r="D11" s="39">
        <v>-522822</v>
      </c>
      <c r="E11" s="40">
        <v>26334286.2</v>
      </c>
      <c r="F11" s="40">
        <v>26255586.2</v>
      </c>
      <c r="G11" s="40">
        <v>26901888.1</v>
      </c>
      <c r="H11" s="40">
        <v>26306936.2</v>
      </c>
      <c r="I11" s="40">
        <v>27085805.04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39">
        <v>0</v>
      </c>
      <c r="P11" s="39">
        <v>0</v>
      </c>
      <c r="Q11" s="41">
        <f>+E11+F11+G11+H11+I11+J11+K11+L11+M11+N11+O11+P11</f>
        <v>132884501.74</v>
      </c>
    </row>
    <row r="12" s="10" customFormat="1" ht="27" customHeight="1" spans="2:18">
      <c r="B12" s="37" t="s">
        <v>18</v>
      </c>
      <c r="C12" s="40">
        <v>67781665</v>
      </c>
      <c r="D12" s="39">
        <v>522822</v>
      </c>
      <c r="E12" s="40">
        <v>1437000</v>
      </c>
      <c r="F12" s="40">
        <v>1460000</v>
      </c>
      <c r="G12" s="40">
        <v>1460000</v>
      </c>
      <c r="H12" s="40">
        <v>23726107.21</v>
      </c>
      <c r="I12" s="40">
        <v>1460000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39">
        <v>0</v>
      </c>
      <c r="P12" s="39">
        <v>0</v>
      </c>
      <c r="Q12" s="41">
        <f>+E12+F12+G12+H12+I12+J12+K12+L12+M12+N12+O12+P12</f>
        <v>29543107.21</v>
      </c>
    </row>
    <row r="13" s="10" customFormat="1" ht="27" customHeight="1" spans="2:18">
      <c r="B13" s="37" t="s">
        <v>19</v>
      </c>
      <c r="C13" s="40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8">
      <c r="B14" s="37" t="s">
        <v>20</v>
      </c>
      <c r="C14" s="40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8">
      <c r="B15" s="37" t="s">
        <v>21</v>
      </c>
      <c r="C15" s="40">
        <v>49486254</v>
      </c>
      <c r="D15" s="39"/>
      <c r="E15" s="40">
        <v>3989831.19</v>
      </c>
      <c r="F15" s="40">
        <v>3977797.96</v>
      </c>
      <c r="G15" s="40">
        <v>4008226.99</v>
      </c>
      <c r="H15" s="40">
        <v>3984925.02</v>
      </c>
      <c r="I15" s="40">
        <v>4033785.48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39">
        <v>0</v>
      </c>
      <c r="P15" s="39">
        <v>0</v>
      </c>
      <c r="Q15" s="41">
        <f>+E15+F15+G15+H15+I15+J15+K15+L15+M15+N15+O15+P15</f>
        <v>19994566.64</v>
      </c>
    </row>
    <row r="16" s="10" customFormat="1" ht="27" customHeight="1" spans="2:18">
      <c r="B16" s="33" t="s">
        <v>22</v>
      </c>
      <c r="C16" s="35">
        <f>SUM(C17:C25)</f>
        <v>180335892</v>
      </c>
      <c r="D16" s="35">
        <f>SUM(D17:D25)</f>
        <v>-33219712</v>
      </c>
      <c r="E16" s="35">
        <f t="shared" ref="E16:P16" si="2">SUM(E17:E25)</f>
        <v>2755269.55</v>
      </c>
      <c r="F16" s="35">
        <f t="shared" si="2"/>
        <v>10551527.29</v>
      </c>
      <c r="G16" s="35">
        <f t="shared" si="2"/>
        <v>7600979.48</v>
      </c>
      <c r="H16" s="35">
        <f t="shared" si="2"/>
        <v>13731624.96</v>
      </c>
      <c r="I16" s="35">
        <f t="shared" si="2"/>
        <v>4842043.31</v>
      </c>
      <c r="J16" s="35">
        <f t="shared" si="2"/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6">
        <f>+Q17+Q18+Q19+Q20+Q21+Q22+Q23+Q24+Q25</f>
        <v>39481444.59</v>
      </c>
    </row>
    <row r="17" s="10" customFormat="1" ht="27" customHeight="1" spans="2:17">
      <c r="B17" s="37" t="s">
        <v>23</v>
      </c>
      <c r="C17" s="40">
        <v>33780000</v>
      </c>
      <c r="D17" s="39">
        <v>2000</v>
      </c>
      <c r="E17" s="40">
        <v>1991078.74</v>
      </c>
      <c r="F17" s="40">
        <v>2145419.21</v>
      </c>
      <c r="G17" s="40">
        <v>2871016.63</v>
      </c>
      <c r="H17" s="40">
        <v>3307631.68</v>
      </c>
      <c r="I17" s="40">
        <v>2149961.96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39">
        <v>0</v>
      </c>
      <c r="P17" s="39">
        <v>0</v>
      </c>
      <c r="Q17" s="41">
        <f t="shared" ref="Q17:Q83" si="3">+E17+F17+G17+H17+I17+J17+K17+L17+M17+N17+O17+P17</f>
        <v>12465108.22</v>
      </c>
    </row>
    <row r="18" s="10" customFormat="1" ht="27" customHeight="1" spans="2:17">
      <c r="B18" s="37" t="s">
        <v>24</v>
      </c>
      <c r="C18" s="40">
        <v>5800000</v>
      </c>
      <c r="D18" s="39">
        <v>0</v>
      </c>
      <c r="E18" s="40">
        <v>0</v>
      </c>
      <c r="F18" s="40">
        <v>488754.68</v>
      </c>
      <c r="G18" s="40">
        <v>766194.3</v>
      </c>
      <c r="H18" s="40">
        <v>99200</v>
      </c>
      <c r="I18" s="40">
        <v>262372.5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39"/>
      <c r="P18" s="39">
        <v>0</v>
      </c>
      <c r="Q18" s="41">
        <f t="shared" si="3"/>
        <v>1616521.48</v>
      </c>
    </row>
    <row r="19" s="10" customFormat="1" ht="27" customHeight="1" spans="2:17">
      <c r="B19" s="37" t="s">
        <v>25</v>
      </c>
      <c r="C19" s="40">
        <v>31000000</v>
      </c>
      <c r="D19" s="39">
        <v>-21037512</v>
      </c>
      <c r="E19" s="40">
        <v>0</v>
      </c>
      <c r="F19" s="40">
        <v>273230</v>
      </c>
      <c r="G19" s="40">
        <v>142192</v>
      </c>
      <c r="H19" s="40">
        <v>954600</v>
      </c>
      <c r="I19" s="40">
        <v>573960</v>
      </c>
      <c r="J19" s="40"/>
      <c r="K19" s="40">
        <v>0</v>
      </c>
      <c r="L19" s="40"/>
      <c r="M19" s="40"/>
      <c r="N19" s="40"/>
      <c r="O19" s="39"/>
      <c r="P19" s="39"/>
      <c r="Q19" s="41">
        <f t="shared" si="3"/>
        <v>1943982</v>
      </c>
    </row>
    <row r="20" s="10" customFormat="1" ht="27" customHeight="1" spans="2:17">
      <c r="B20" s="37" t="s">
        <v>26</v>
      </c>
      <c r="C20" s="40">
        <v>2600000</v>
      </c>
      <c r="D20" s="39">
        <v>-1570200</v>
      </c>
      <c r="E20" s="40">
        <v>0</v>
      </c>
      <c r="F20" s="40">
        <v>28000</v>
      </c>
      <c r="G20" s="40">
        <v>0</v>
      </c>
      <c r="H20" s="40"/>
      <c r="I20" s="40">
        <v>1840</v>
      </c>
      <c r="J20" s="40"/>
      <c r="K20" s="40">
        <v>0</v>
      </c>
      <c r="L20" s="40"/>
      <c r="M20" s="40"/>
      <c r="N20" s="40"/>
      <c r="O20" s="39"/>
      <c r="P20" s="39"/>
      <c r="Q20" s="41">
        <f t="shared" si="3"/>
        <v>29840</v>
      </c>
    </row>
    <row r="21" s="10" customFormat="1" ht="27" customHeight="1" spans="2:17">
      <c r="B21" s="37" t="s">
        <v>27</v>
      </c>
      <c r="C21" s="40">
        <v>13025891</v>
      </c>
      <c r="D21" s="39">
        <v>2206000</v>
      </c>
      <c r="E21" s="40">
        <v>565259.18</v>
      </c>
      <c r="F21" s="40">
        <v>1578144.83</v>
      </c>
      <c r="G21" s="40">
        <v>483435.89</v>
      </c>
      <c r="H21" s="40">
        <v>2592326.53</v>
      </c>
      <c r="I21" s="40">
        <v>21956.48</v>
      </c>
      <c r="J21" s="40"/>
      <c r="K21" s="40"/>
      <c r="L21" s="40"/>
      <c r="M21" s="40"/>
      <c r="N21" s="40"/>
      <c r="O21" s="39"/>
      <c r="P21" s="39"/>
      <c r="Q21" s="41">
        <f t="shared" si="3"/>
        <v>5241122.91</v>
      </c>
    </row>
    <row r="22" s="10" customFormat="1" ht="27" customHeight="1" spans="2:17">
      <c r="B22" s="37" t="s">
        <v>28</v>
      </c>
      <c r="C22" s="40">
        <v>12600000</v>
      </c>
      <c r="D22" s="39"/>
      <c r="E22" s="40"/>
      <c r="F22" s="40">
        <v>1369799.12</v>
      </c>
      <c r="G22" s="40">
        <v>746770.61</v>
      </c>
      <c r="H22" s="40">
        <v>753330.02</v>
      </c>
      <c r="I22" s="40">
        <v>1306359.42</v>
      </c>
      <c r="J22" s="40"/>
      <c r="K22" s="40"/>
      <c r="L22" s="40"/>
      <c r="M22" s="40"/>
      <c r="N22" s="40"/>
      <c r="O22" s="39"/>
      <c r="P22" s="39"/>
      <c r="Q22" s="41">
        <f t="shared" si="3"/>
        <v>4176259.17</v>
      </c>
    </row>
    <row r="23" s="10" customFormat="1" ht="45.75" customHeight="1" spans="2:17">
      <c r="B23" s="42" t="s">
        <v>29</v>
      </c>
      <c r="C23" s="40">
        <v>29590000</v>
      </c>
      <c r="D23" s="39">
        <v>-920000</v>
      </c>
      <c r="E23" s="40">
        <v>0</v>
      </c>
      <c r="F23" s="40">
        <v>843209.61</v>
      </c>
      <c r="G23" s="40">
        <v>239337.94</v>
      </c>
      <c r="H23" s="40">
        <v>1710896.28</v>
      </c>
      <c r="I23" s="40">
        <v>124127.36</v>
      </c>
      <c r="J23" s="40"/>
      <c r="K23" s="40"/>
      <c r="L23" s="40"/>
      <c r="M23" s="40"/>
      <c r="N23" s="40"/>
      <c r="O23" s="39"/>
      <c r="P23" s="39"/>
      <c r="Q23" s="41">
        <f t="shared" si="3"/>
        <v>2917571.19</v>
      </c>
    </row>
    <row r="24" s="10" customFormat="1" ht="43.5" customHeight="1" spans="2:17">
      <c r="B24" s="42" t="s">
        <v>30</v>
      </c>
      <c r="C24" s="40">
        <v>30340000</v>
      </c>
      <c r="D24" s="39">
        <v>-14400000</v>
      </c>
      <c r="E24" s="40">
        <v>198931.63</v>
      </c>
      <c r="F24" s="40">
        <v>1382086.64</v>
      </c>
      <c r="G24" s="40">
        <v>418720.11</v>
      </c>
      <c r="H24" s="40">
        <v>484953.45</v>
      </c>
      <c r="I24" s="40">
        <v>401465.59</v>
      </c>
      <c r="J24" s="40"/>
      <c r="K24" s="40"/>
      <c r="L24" s="40"/>
      <c r="M24" s="40"/>
      <c r="N24" s="40"/>
      <c r="O24" s="39"/>
      <c r="P24" s="39"/>
      <c r="Q24" s="41">
        <f t="shared" si="3"/>
        <v>2886157.42</v>
      </c>
    </row>
    <row r="25" s="10" customFormat="1" ht="27" customHeight="1" spans="2:17">
      <c r="B25" s="37" t="s">
        <v>31</v>
      </c>
      <c r="C25" s="40">
        <v>21600001</v>
      </c>
      <c r="D25" s="39">
        <v>2500000</v>
      </c>
      <c r="E25" s="40"/>
      <c r="F25" s="40">
        <v>2442883.2</v>
      </c>
      <c r="G25" s="40">
        <v>1933312</v>
      </c>
      <c r="H25" s="40">
        <v>3828687</v>
      </c>
      <c r="I25" s="40">
        <v>0</v>
      </c>
      <c r="J25" s="40"/>
      <c r="K25" s="40">
        <v>0</v>
      </c>
      <c r="L25" s="40">
        <v>0</v>
      </c>
      <c r="M25" s="40"/>
      <c r="N25" s="40">
        <v>0</v>
      </c>
      <c r="O25" s="43"/>
      <c r="P25" s="39"/>
      <c r="Q25" s="41">
        <f t="shared" si="3"/>
        <v>8204882.2</v>
      </c>
    </row>
    <row r="26" s="10" customFormat="1" ht="27" customHeight="1" spans="2:17">
      <c r="B26" s="33" t="s">
        <v>32</v>
      </c>
      <c r="C26" s="35">
        <f>SUM(C27:C35)</f>
        <v>309474472</v>
      </c>
      <c r="D26" s="35">
        <f>SUM(D27:D35)</f>
        <v>4638200</v>
      </c>
      <c r="E26" s="35">
        <f t="shared" ref="E26:P26" si="4">SUM(E27:E35)</f>
        <v>0</v>
      </c>
      <c r="F26" s="35">
        <f t="shared" si="4"/>
        <v>34303911.8</v>
      </c>
      <c r="G26" s="35">
        <f t="shared" si="4"/>
        <v>5893318.05</v>
      </c>
      <c r="H26" s="35">
        <f t="shared" si="4"/>
        <v>67261489.53</v>
      </c>
      <c r="I26" s="35">
        <f t="shared" si="4"/>
        <v>10636972.05</v>
      </c>
      <c r="J26" s="35">
        <f t="shared" si="4"/>
        <v>0</v>
      </c>
      <c r="K26" s="35">
        <f t="shared" si="4"/>
        <v>0</v>
      </c>
      <c r="L26" s="35">
        <f t="shared" si="4"/>
        <v>0</v>
      </c>
      <c r="M26" s="35">
        <f t="shared" si="4"/>
        <v>0</v>
      </c>
      <c r="N26" s="35">
        <f t="shared" si="4"/>
        <v>0</v>
      </c>
      <c r="O26" s="35">
        <f t="shared" si="4"/>
        <v>0</v>
      </c>
      <c r="P26" s="35">
        <f t="shared" si="4"/>
        <v>0</v>
      </c>
      <c r="Q26" s="36">
        <f>+Q27+Q28+Q29+Q30+Q31+Q33+Q32+Q34+Q35+Q36+Q37</f>
        <v>118095691.43</v>
      </c>
    </row>
    <row r="27" s="10" customFormat="1" ht="27" customHeight="1" spans="2:17">
      <c r="B27" s="37" t="s">
        <v>33</v>
      </c>
      <c r="C27" s="40">
        <v>7700000</v>
      </c>
      <c r="D27" s="39">
        <v>-3980000</v>
      </c>
      <c r="E27" s="40">
        <v>0</v>
      </c>
      <c r="F27" s="40">
        <v>33830</v>
      </c>
      <c r="G27" s="40">
        <v>0</v>
      </c>
      <c r="H27" s="40"/>
      <c r="I27" s="40">
        <v>225648.92</v>
      </c>
      <c r="J27" s="40">
        <v>0</v>
      </c>
      <c r="K27" s="40"/>
      <c r="L27" s="40">
        <v>0</v>
      </c>
      <c r="M27" s="40"/>
      <c r="N27" s="40"/>
      <c r="O27" s="40"/>
      <c r="P27" s="39"/>
      <c r="Q27" s="41">
        <f t="shared" si="3"/>
        <v>259478.92</v>
      </c>
    </row>
    <row r="28" s="10" customFormat="1" ht="27" customHeight="1" spans="2:17">
      <c r="B28" s="37" t="s">
        <v>34</v>
      </c>
      <c r="C28" s="40">
        <v>10700000</v>
      </c>
      <c r="D28" s="39">
        <v>-2109800</v>
      </c>
      <c r="E28" s="40">
        <v>0</v>
      </c>
      <c r="F28" s="40">
        <v>156940</v>
      </c>
      <c r="G28" s="40">
        <v>76700</v>
      </c>
      <c r="H28" s="40">
        <v>63720</v>
      </c>
      <c r="I28" s="40">
        <v>1705.1</v>
      </c>
      <c r="J28" s="40">
        <v>0</v>
      </c>
      <c r="K28" s="40">
        <v>0</v>
      </c>
      <c r="L28" s="40">
        <v>0</v>
      </c>
      <c r="M28" s="40"/>
      <c r="N28" s="40">
        <v>0</v>
      </c>
      <c r="O28" s="40"/>
      <c r="P28" s="39"/>
      <c r="Q28" s="41">
        <f t="shared" si="3"/>
        <v>299065.1</v>
      </c>
    </row>
    <row r="29" s="10" customFormat="1" ht="27" customHeight="1" spans="2:17">
      <c r="B29" s="37" t="s">
        <v>35</v>
      </c>
      <c r="C29" s="40">
        <v>228422500</v>
      </c>
      <c r="D29" s="39">
        <v>15580000</v>
      </c>
      <c r="E29" s="40">
        <v>0</v>
      </c>
      <c r="F29" s="40">
        <v>33400000</v>
      </c>
      <c r="G29" s="40">
        <v>0</v>
      </c>
      <c r="H29" s="40">
        <v>66785036.8</v>
      </c>
      <c r="I29" s="40">
        <v>631642.08</v>
      </c>
      <c r="J29" s="40">
        <v>0</v>
      </c>
      <c r="K29" s="40">
        <v>0</v>
      </c>
      <c r="L29" s="40">
        <v>0</v>
      </c>
      <c r="M29" s="40"/>
      <c r="N29" s="40"/>
      <c r="O29" s="40"/>
      <c r="P29" s="39"/>
      <c r="Q29" s="41">
        <f t="shared" si="3"/>
        <v>100816678.88</v>
      </c>
    </row>
    <row r="30" s="10" customFormat="1" ht="27" customHeight="1" spans="2:17">
      <c r="B30" s="37" t="s">
        <v>36</v>
      </c>
      <c r="C30" s="40">
        <v>3499999</v>
      </c>
      <c r="D30" s="39"/>
      <c r="E30" s="40">
        <v>0</v>
      </c>
      <c r="F30" s="40"/>
      <c r="G30" s="40">
        <v>0</v>
      </c>
      <c r="H30" s="40"/>
      <c r="I30" s="40"/>
      <c r="J30" s="40">
        <v>0</v>
      </c>
      <c r="K30" s="40">
        <v>0</v>
      </c>
      <c r="L30" s="40">
        <v>0</v>
      </c>
      <c r="M30" s="40"/>
      <c r="N30" s="40"/>
      <c r="O30" s="40"/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40">
        <v>3010000</v>
      </c>
      <c r="D31" s="39">
        <v>-1300000</v>
      </c>
      <c r="E31" s="40">
        <v>0</v>
      </c>
      <c r="F31" s="40">
        <v>15750</v>
      </c>
      <c r="G31" s="40">
        <v>0</v>
      </c>
      <c r="H31" s="40">
        <v>39243.26</v>
      </c>
      <c r="I31" s="40">
        <v>103636.69</v>
      </c>
      <c r="J31" s="40"/>
      <c r="K31" s="40">
        <v>0</v>
      </c>
      <c r="L31" s="40">
        <v>0</v>
      </c>
      <c r="M31" s="40"/>
      <c r="N31" s="40"/>
      <c r="O31" s="40"/>
      <c r="P31" s="39"/>
      <c r="Q31" s="41">
        <f t="shared" si="3"/>
        <v>158629.95</v>
      </c>
    </row>
    <row r="32" s="10" customFormat="1" ht="42" customHeight="1" spans="2:17">
      <c r="B32" s="37" t="s">
        <v>38</v>
      </c>
      <c r="C32" s="40">
        <v>290000</v>
      </c>
      <c r="D32" s="39">
        <v>410000</v>
      </c>
      <c r="E32" s="40">
        <v>0</v>
      </c>
      <c r="F32" s="40"/>
      <c r="G32" s="40">
        <v>0</v>
      </c>
      <c r="H32" s="40">
        <v>5310</v>
      </c>
      <c r="I32" s="40">
        <v>442507.89</v>
      </c>
      <c r="J32" s="40"/>
      <c r="K32" s="40">
        <v>0</v>
      </c>
      <c r="L32" s="40">
        <v>0</v>
      </c>
      <c r="M32" s="40"/>
      <c r="N32" s="40"/>
      <c r="O32" s="40"/>
      <c r="P32" s="39"/>
      <c r="Q32" s="41">
        <f t="shared" si="3"/>
        <v>447817.89</v>
      </c>
    </row>
    <row r="33" s="10" customFormat="1" ht="39" customHeight="1" spans="2:17">
      <c r="B33" s="42" t="s">
        <v>39</v>
      </c>
      <c r="C33" s="40">
        <v>15595000</v>
      </c>
      <c r="D33" s="39"/>
      <c r="E33" s="40">
        <v>0</v>
      </c>
      <c r="F33" s="40"/>
      <c r="G33" s="40">
        <v>5760000</v>
      </c>
      <c r="H33" s="40">
        <v>54943.75</v>
      </c>
      <c r="I33" s="40">
        <v>444407.04</v>
      </c>
      <c r="J33" s="40"/>
      <c r="K33" s="40">
        <v>0</v>
      </c>
      <c r="L33" s="40">
        <v>0</v>
      </c>
      <c r="M33" s="40"/>
      <c r="N33" s="40">
        <v>0</v>
      </c>
      <c r="O33" s="40"/>
      <c r="P33" s="39"/>
      <c r="Q33" s="41">
        <f t="shared" si="3"/>
        <v>6259350.79</v>
      </c>
    </row>
    <row r="34" s="10" customFormat="1" ht="39.75" customHeight="1" spans="2:17">
      <c r="B34" s="42" t="s">
        <v>40</v>
      </c>
      <c r="C34" s="40"/>
      <c r="D34" s="39"/>
      <c r="E34" s="40"/>
      <c r="F34" s="40"/>
      <c r="G34" s="40"/>
      <c r="H34" s="40"/>
      <c r="I34" s="40">
        <v>0</v>
      </c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40">
        <v>40256973</v>
      </c>
      <c r="D35" s="39">
        <v>-3962000</v>
      </c>
      <c r="E35" s="40">
        <v>0</v>
      </c>
      <c r="F35" s="40">
        <v>697391.8</v>
      </c>
      <c r="G35" s="40">
        <v>56618.05</v>
      </c>
      <c r="H35" s="40">
        <v>313235.72</v>
      </c>
      <c r="I35" s="40">
        <v>8787424.33</v>
      </c>
      <c r="J35" s="40"/>
      <c r="K35" s="40"/>
      <c r="L35" s="40"/>
      <c r="M35" s="40"/>
      <c r="N35" s="40"/>
      <c r="O35" s="40"/>
      <c r="P35" s="39"/>
      <c r="Q35" s="41">
        <f t="shared" si="3"/>
        <v>9854669.9</v>
      </c>
    </row>
    <row r="36" s="10" customFormat="1" ht="27" customHeight="1" spans="2:17">
      <c r="B36" s="33" t="s">
        <v>42</v>
      </c>
      <c r="C36" s="35">
        <f>SUM(C37:C42)</f>
        <v>3000000</v>
      </c>
      <c r="D36" s="35">
        <f>SUM(D37:D42)</f>
        <v>-3000000</v>
      </c>
      <c r="E36" s="35">
        <f t="shared" ref="E36:M36" si="5">SUM(E37:E42)</f>
        <v>0</v>
      </c>
      <c r="F36" s="35"/>
      <c r="G36" s="35">
        <f t="shared" si="5"/>
        <v>0</v>
      </c>
      <c r="H36" s="35"/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40">
        <v>3000000</v>
      </c>
      <c r="D37" s="39">
        <v>-3000000</v>
      </c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3"/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40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3"/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40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3"/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40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3"/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40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3"/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40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3"/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40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3"/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5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3"/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40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3"/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40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3"/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40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3"/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4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3"/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4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3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4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3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4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3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5">
        <f>SUM(C53:C61)</f>
        <v>35070000</v>
      </c>
      <c r="D52" s="35">
        <f>SUM(D53:D61)</f>
        <v>23881512</v>
      </c>
      <c r="E52" s="35">
        <f t="shared" ref="E52:P52" si="6">SUM(E53:E61)</f>
        <v>0</v>
      </c>
      <c r="F52" s="35">
        <f t="shared" si="6"/>
        <v>1807937.53</v>
      </c>
      <c r="G52" s="35">
        <f t="shared" si="6"/>
        <v>4599694.22</v>
      </c>
      <c r="H52" s="35">
        <f t="shared" si="6"/>
        <v>1003200.06</v>
      </c>
      <c r="I52" s="35">
        <f t="shared" si="6"/>
        <v>10554358.96</v>
      </c>
      <c r="J52" s="35">
        <f t="shared" si="6"/>
        <v>0</v>
      </c>
      <c r="K52" s="35">
        <f t="shared" si="6"/>
        <v>0</v>
      </c>
      <c r="L52" s="35">
        <f t="shared" si="6"/>
        <v>0</v>
      </c>
      <c r="M52" s="35">
        <f t="shared" si="6"/>
        <v>0</v>
      </c>
      <c r="N52" s="35">
        <f t="shared" si="6"/>
        <v>0</v>
      </c>
      <c r="O52" s="35">
        <f t="shared" si="6"/>
        <v>0</v>
      </c>
      <c r="P52" s="35">
        <f t="shared" si="6"/>
        <v>0</v>
      </c>
      <c r="Q52" s="36">
        <f>+Q53+Q54+Q55+Q56+Q57+Q58+Q59+Q60+Q61</f>
        <v>17965190.77</v>
      </c>
    </row>
    <row r="53" s="10" customFormat="1" ht="27" customHeight="1" spans="2:17">
      <c r="B53" s="37" t="s">
        <v>58</v>
      </c>
      <c r="C53" s="40">
        <v>9300000</v>
      </c>
      <c r="D53" s="39">
        <v>18500000</v>
      </c>
      <c r="E53" s="40">
        <v>0</v>
      </c>
      <c r="F53" s="40">
        <v>1746558.53</v>
      </c>
      <c r="G53" s="40">
        <v>218182</v>
      </c>
      <c r="H53" s="40">
        <v>1003200.06</v>
      </c>
      <c r="I53" s="40">
        <v>9852008.8</v>
      </c>
      <c r="J53" s="40"/>
      <c r="K53" s="40"/>
      <c r="L53" s="40">
        <v>0</v>
      </c>
      <c r="M53" s="40"/>
      <c r="N53" s="40">
        <v>0</v>
      </c>
      <c r="O53" s="40"/>
      <c r="P53" s="39"/>
      <c r="Q53" s="41">
        <f t="shared" si="3"/>
        <v>12819949.39</v>
      </c>
    </row>
    <row r="54" s="10" customFormat="1" ht="42" customHeight="1" spans="2:17">
      <c r="B54" s="42" t="s">
        <v>59</v>
      </c>
      <c r="C54" s="40">
        <v>1000000</v>
      </c>
      <c r="D54" s="39">
        <v>540000</v>
      </c>
      <c r="E54" s="40">
        <v>0</v>
      </c>
      <c r="F54" s="40">
        <v>61379</v>
      </c>
      <c r="G54" s="40">
        <v>0</v>
      </c>
      <c r="H54" s="40"/>
      <c r="I54" s="40"/>
      <c r="J54" s="40"/>
      <c r="K54" s="40">
        <v>0</v>
      </c>
      <c r="L54" s="40">
        <v>0</v>
      </c>
      <c r="M54" s="40"/>
      <c r="N54" s="40"/>
      <c r="O54" s="40">
        <v>0</v>
      </c>
      <c r="P54" s="39"/>
      <c r="Q54" s="41">
        <f t="shared" si="3"/>
        <v>61379</v>
      </c>
    </row>
    <row r="55" s="10" customFormat="1" ht="27" customHeight="1" spans="2:17">
      <c r="B55" s="37" t="s">
        <v>60</v>
      </c>
      <c r="C55" s="40">
        <v>550000</v>
      </c>
      <c r="D55" s="39"/>
      <c r="E55" s="40"/>
      <c r="F55" s="40"/>
      <c r="G55" s="40"/>
      <c r="H55" s="40"/>
      <c r="I55" s="40"/>
      <c r="J55" s="40"/>
      <c r="K55" s="40">
        <v>0</v>
      </c>
      <c r="L55" s="40">
        <v>0</v>
      </c>
      <c r="M55" s="40">
        <v>0</v>
      </c>
      <c r="N55" s="40"/>
      <c r="O55" s="40">
        <v>0</v>
      </c>
      <c r="P55" s="39"/>
      <c r="Q55" s="41">
        <f t="shared" si="3"/>
        <v>0</v>
      </c>
    </row>
    <row r="56" s="10" customFormat="1" ht="38.25" customHeight="1" spans="2:17">
      <c r="B56" s="42" t="s">
        <v>61</v>
      </c>
      <c r="C56" s="40">
        <v>12120000</v>
      </c>
      <c r="D56" s="39">
        <v>20000</v>
      </c>
      <c r="E56" s="40">
        <v>0</v>
      </c>
      <c r="F56" s="40">
        <v>0</v>
      </c>
      <c r="G56" s="40"/>
      <c r="H56" s="40"/>
      <c r="I56" s="40">
        <v>20576.84</v>
      </c>
      <c r="J56" s="40"/>
      <c r="K56" s="40"/>
      <c r="L56" s="40"/>
      <c r="M56" s="40"/>
      <c r="N56" s="40"/>
      <c r="O56" s="40">
        <v>0</v>
      </c>
      <c r="P56" s="39"/>
      <c r="Q56" s="41">
        <f t="shared" si="3"/>
        <v>20576.84</v>
      </c>
    </row>
    <row r="57" s="10" customFormat="1" ht="27" customHeight="1" spans="2:17">
      <c r="B57" s="37" t="s">
        <v>62</v>
      </c>
      <c r="C57" s="40">
        <v>8200000</v>
      </c>
      <c r="D57" s="39">
        <v>-780000</v>
      </c>
      <c r="E57" s="40"/>
      <c r="F57" s="40"/>
      <c r="G57" s="40"/>
      <c r="H57" s="40"/>
      <c r="I57" s="40">
        <v>543713.32</v>
      </c>
      <c r="J57" s="40"/>
      <c r="K57" s="40">
        <v>0</v>
      </c>
      <c r="L57" s="40">
        <v>0</v>
      </c>
      <c r="M57" s="40"/>
      <c r="N57" s="40">
        <v>0</v>
      </c>
      <c r="O57" s="40"/>
      <c r="P57" s="39"/>
      <c r="Q57" s="41">
        <f t="shared" si="3"/>
        <v>543713.32</v>
      </c>
    </row>
    <row r="58" s="10" customFormat="1" ht="27" customHeight="1" spans="2:17">
      <c r="B58" s="37" t="s">
        <v>63</v>
      </c>
      <c r="C58" s="40">
        <v>400000</v>
      </c>
      <c r="D58" s="39">
        <v>570000</v>
      </c>
      <c r="E58" s="40"/>
      <c r="F58" s="40"/>
      <c r="G58" s="40"/>
      <c r="H58" s="40"/>
      <c r="I58" s="40">
        <v>0</v>
      </c>
      <c r="J58" s="40"/>
      <c r="K58" s="40">
        <v>0</v>
      </c>
      <c r="L58" s="40">
        <v>0</v>
      </c>
      <c r="M58" s="40"/>
      <c r="N58" s="40">
        <v>0</v>
      </c>
      <c r="O58" s="40"/>
      <c r="P58" s="39"/>
      <c r="Q58" s="41">
        <f t="shared" si="3"/>
        <v>0</v>
      </c>
    </row>
    <row r="59" s="10" customFormat="1" ht="27" customHeight="1" spans="2:17">
      <c r="B59" s="37" t="s">
        <v>64</v>
      </c>
      <c r="C59" s="40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40">
        <v>3000000</v>
      </c>
      <c r="D60" s="39"/>
      <c r="E60" s="40">
        <v>0</v>
      </c>
      <c r="F60" s="40">
        <v>0</v>
      </c>
      <c r="G60" s="40">
        <v>0</v>
      </c>
      <c r="H60" s="40"/>
      <c r="I60" s="40">
        <v>138060</v>
      </c>
      <c r="J60" s="40"/>
      <c r="K60" s="40"/>
      <c r="L60" s="40"/>
      <c r="M60" s="40"/>
      <c r="N60" s="40">
        <v>0</v>
      </c>
      <c r="O60" s="40"/>
      <c r="P60" s="39"/>
      <c r="Q60" s="41">
        <f t="shared" si="3"/>
        <v>138060</v>
      </c>
    </row>
    <row r="61" s="10" customFormat="1" ht="36.75" customHeight="1" spans="2:17">
      <c r="B61" s="42" t="s">
        <v>66</v>
      </c>
      <c r="C61" s="40">
        <v>500000</v>
      </c>
      <c r="D61" s="39">
        <v>5031512</v>
      </c>
      <c r="E61" s="40"/>
      <c r="F61" s="40"/>
      <c r="G61" s="40">
        <v>4381512.22</v>
      </c>
      <c r="H61" s="40"/>
      <c r="I61" s="40"/>
      <c r="J61" s="40"/>
      <c r="K61" s="40"/>
      <c r="L61" s="40"/>
      <c r="M61" s="40"/>
      <c r="N61" s="40">
        <v>0</v>
      </c>
      <c r="O61" s="40"/>
      <c r="P61" s="39"/>
      <c r="Q61" s="41">
        <f t="shared" si="3"/>
        <v>4381512.22</v>
      </c>
    </row>
    <row r="62" s="10" customFormat="1" ht="27" customHeight="1" spans="2:17">
      <c r="B62" s="33" t="s">
        <v>67</v>
      </c>
      <c r="C62" s="35">
        <f>SUM(C63:C65)</f>
        <v>3900000</v>
      </c>
      <c r="D62" s="35">
        <f>+D63+D64+D65+D66</f>
        <v>7700000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v>0</v>
      </c>
      <c r="O62" s="40"/>
      <c r="P62" s="39"/>
      <c r="Q62" s="41">
        <f t="shared" si="3"/>
        <v>0</v>
      </c>
    </row>
    <row r="63" s="10" customFormat="1" ht="27" customHeight="1" spans="2:17">
      <c r="B63" s="37" t="s">
        <v>68</v>
      </c>
      <c r="C63" s="40">
        <v>3900000</v>
      </c>
      <c r="D63" s="39">
        <v>7700000</v>
      </c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0</v>
      </c>
      <c r="O63" s="40"/>
      <c r="P63" s="39"/>
      <c r="Q63" s="41">
        <f t="shared" si="3"/>
        <v>0</v>
      </c>
    </row>
    <row r="64" s="10" customFormat="1" ht="27" customHeight="1" spans="2:17">
      <c r="B64" s="37" t="s">
        <v>69</v>
      </c>
      <c r="C64" s="40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40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40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5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40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40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5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40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40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40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8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167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168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168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167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168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168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2:17">
      <c r="B81" s="33" t="s">
        <v>86</v>
      </c>
      <c r="C81" s="167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2:17">
      <c r="B82" s="37" t="s">
        <v>87</v>
      </c>
      <c r="C82" s="168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2:17">
      <c r="B83" s="51" t="s">
        <v>88</v>
      </c>
      <c r="C83" s="53">
        <f>+C10+C16+C26+C36+C44+C52+C62+C67+C70</f>
        <v>1024795636</v>
      </c>
      <c r="D83" s="53">
        <f>+D10+D16+D26+D36+D52+D62</f>
        <v>0</v>
      </c>
      <c r="E83" s="53">
        <f t="shared" ref="E83:P83" si="8">+E10+E16+E26+E36+E44+E52+E62+E67+E70</f>
        <v>34516386.94</v>
      </c>
      <c r="F83" s="54">
        <f t="shared" si="8"/>
        <v>78356760.78</v>
      </c>
      <c r="G83" s="53">
        <f t="shared" si="8"/>
        <v>50464106.84</v>
      </c>
      <c r="H83" s="53">
        <f t="shared" si="8"/>
        <v>136014282.98</v>
      </c>
      <c r="I83" s="53">
        <f t="shared" si="8"/>
        <v>58612964.84</v>
      </c>
      <c r="J83" s="54">
        <f t="shared" si="8"/>
        <v>0</v>
      </c>
      <c r="K83" s="54">
        <f t="shared" si="8"/>
        <v>0</v>
      </c>
      <c r="L83" s="54">
        <f t="shared" si="8"/>
        <v>0</v>
      </c>
      <c r="M83" s="54">
        <f t="shared" si="8"/>
        <v>0</v>
      </c>
      <c r="N83" s="54">
        <f t="shared" si="8"/>
        <v>0</v>
      </c>
      <c r="O83" s="54">
        <f t="shared" si="8"/>
        <v>0</v>
      </c>
      <c r="P83" s="53">
        <f t="shared" si="8"/>
        <v>0</v>
      </c>
      <c r="Q83" s="55">
        <f t="shared" si="3"/>
        <v>357964502.38</v>
      </c>
    </row>
    <row r="84" ht="18.75" spans="2:17">
      <c r="B84" s="111" t="s">
        <v>124</v>
      </c>
    </row>
    <row r="85" ht="18.75" spans="2:17">
      <c r="B85" s="112" t="s">
        <v>90</v>
      </c>
    </row>
    <row r="86" ht="37.5" spans="2:17">
      <c r="B86" s="112" t="s">
        <v>91</v>
      </c>
    </row>
    <row r="87" ht="18.75" spans="2:17">
      <c r="B87" s="112" t="s">
        <v>92</v>
      </c>
    </row>
    <row r="88" ht="18.75" spans="2:17">
      <c r="B88" s="112" t="s">
        <v>93</v>
      </c>
    </row>
    <row r="89" ht="18.75" spans="2:17">
      <c r="B89" s="112" t="s">
        <v>94</v>
      </c>
    </row>
    <row r="90" ht="18.75" spans="2:17">
      <c r="B90" s="112" t="s">
        <v>95</v>
      </c>
    </row>
    <row r="91" ht="18.75" spans="2:17">
      <c r="B91" s="13"/>
    </row>
    <row r="92" ht="18.75" spans="2:17">
      <c r="B92" s="13"/>
    </row>
    <row r="93" ht="18.75" spans="2:17">
      <c r="B93" s="13"/>
    </row>
    <row r="94" ht="37.5" customHeight="1" spans="2:17">
      <c r="B94" s="62" t="s">
        <v>129</v>
      </c>
      <c r="H94" s="57"/>
      <c r="I94" s="57"/>
      <c r="J94" s="57"/>
      <c r="K94" s="58" t="s">
        <v>125</v>
      </c>
      <c r="L94" s="58"/>
      <c r="M94" s="58"/>
      <c r="N94" s="58"/>
    </row>
    <row r="95" ht="23.25" spans="2:17">
      <c r="B95" s="60" t="s">
        <v>130</v>
      </c>
      <c r="H95" s="169"/>
      <c r="I95" s="169"/>
      <c r="J95" s="169"/>
      <c r="K95" s="59" t="s">
        <v>131</v>
      </c>
      <c r="L95" s="59"/>
      <c r="M95" s="59"/>
      <c r="N95" s="59"/>
    </row>
    <row r="97" ht="33.75" customHeight="1" spans="1:17">
      <c r="A97" s="56" t="s">
        <v>97</v>
      </c>
      <c r="D97" s="58" t="s">
        <v>126</v>
      </c>
      <c r="E97" s="58"/>
      <c r="F97" s="5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ht="23.25" spans="1:17">
      <c r="D98" s="60" t="s">
        <v>132</v>
      </c>
      <c r="E98" s="60"/>
      <c r="F98" s="60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</row>
    <row r="99" ht="23.25" spans="1:17">
      <c r="B99" s="61"/>
      <c r="C99" s="61"/>
      <c r="D99" s="61"/>
    </row>
    <row r="100" ht="23.25" spans="1:17">
      <c r="B100" s="62"/>
      <c r="C100" s="62"/>
      <c r="D100" s="62"/>
    </row>
    <row r="101" ht="23.25" spans="1:17">
      <c r="B101" s="63" t="s">
        <v>98</v>
      </c>
      <c r="C101" s="63"/>
      <c r="D101" s="63"/>
    </row>
    <row r="102" ht="21" customHeight="1" spans="1:17">
      <c r="B102" s="61" t="s">
        <v>99</v>
      </c>
      <c r="C102" s="61"/>
    </row>
    <row r="103" ht="21" spans="1:17">
      <c r="B103" s="64"/>
      <c r="C103" s="64"/>
      <c r="D103" s="64"/>
    </row>
  </sheetData>
  <mergeCells count="14">
    <mergeCell ref="B1:Q1"/>
    <mergeCell ref="B2:Q2"/>
    <mergeCell ref="B3:Q3"/>
    <mergeCell ref="B4:Q4"/>
    <mergeCell ref="E7:Q7"/>
    <mergeCell ref="K94:N94"/>
    <mergeCell ref="K95:N95"/>
    <mergeCell ref="D97:F97"/>
    <mergeCell ref="D98:F98"/>
    <mergeCell ref="B100:D100"/>
    <mergeCell ref="B103:D103"/>
    <mergeCell ref="B7:B8"/>
    <mergeCell ref="C7:C8"/>
    <mergeCell ref="D7:D8"/>
  </mergeCells>
  <pageMargins left="1.07" right="0.27" top="0.39" bottom="0.5" header="0.27" footer="0.31496062992126"/>
  <pageSetup paperSize="119" scale="35" orientation="landscape"/>
  <headerFooter/>
  <colBreaks count="1" manualBreakCount="1">
    <brk id="17" max="1048575" man="1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3"/>
  <sheetViews>
    <sheetView view="pageBreakPreview" zoomScale="60" zoomScaleNormal="100" topLeftCell="B19" workbookViewId="0">
      <pane xSplit="1" topLeftCell="C1" activePane="topRight" state="frozen"/>
      <selection/>
      <selection pane="topRight" activeCell="D55" sqref="D55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4" customWidth="1"/>
    <col min="5" max="5" width="25.8571428571429" customWidth="1"/>
    <col min="6" max="6" width="21.5714285714286" customWidth="1"/>
    <col min="7" max="7" width="26.5714285714286" customWidth="1"/>
    <col min="8" max="8" width="28.5714285714286" customWidth="1"/>
    <col min="9" max="9" width="26.2857142857143" customWidth="1"/>
    <col min="10" max="10" width="24.1428571428571" customWidth="1"/>
    <col min="11" max="11" width="22" customWidth="1"/>
    <col min="12" max="16" width="14.5714285714286" customWidth="1"/>
    <col min="17" max="17" width="25" customWidth="1"/>
  </cols>
  <sheetData>
    <row r="1" ht="28.5" customHeight="1" spans="2:1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ht="21" customHeight="1" spans="2:1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ht="18.75" spans="2:18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ht="15.75" customHeight="1" spans="2:18">
      <c r="B4" s="89" t="s">
        <v>112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13"/>
    </row>
    <row r="5" ht="15.75" customHeight="1" spans="2:18">
      <c r="B5" s="21" t="s">
        <v>3</v>
      </c>
      <c r="C5" s="21"/>
      <c r="D5" s="21"/>
      <c r="K5" s="91">
        <f>+K9-49338112.97</f>
        <v>0</v>
      </c>
    </row>
    <row r="7" customHeight="1" spans="2:1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30" customHeight="1" spans="2:18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8">
      <c r="B9" s="30" t="s">
        <v>15</v>
      </c>
      <c r="C9" s="32">
        <f>+C10+C16+C26+C36+C44+C52+C62+C67+C70</f>
        <v>1024795636</v>
      </c>
      <c r="D9" s="32">
        <f>+D10+D16+D26+D36+D44+D52+D62+D67+D70</f>
        <v>0</v>
      </c>
      <c r="E9" s="32">
        <f t="shared" ref="E9:P9" si="0">+E10+E16+E26+E36+E44+E52+E62+E67+E70</f>
        <v>34516386.94</v>
      </c>
      <c r="F9" s="32">
        <f t="shared" si="0"/>
        <v>78356760.78</v>
      </c>
      <c r="G9" s="32">
        <f t="shared" si="0"/>
        <v>50464106.84</v>
      </c>
      <c r="H9" s="32">
        <f t="shared" si="0"/>
        <v>136014282.98</v>
      </c>
      <c r="I9" s="32">
        <f t="shared" si="0"/>
        <v>58612964.84</v>
      </c>
      <c r="J9" s="32">
        <f t="shared" si="0"/>
        <v>52541049.4</v>
      </c>
      <c r="K9" s="32">
        <f t="shared" si="0"/>
        <v>49338112.97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>+E9+F9+G9+H9+I9+J9+K9+L9+M9+N9+O9+P9</f>
        <v>459843664.75</v>
      </c>
    </row>
    <row r="10" s="10" customFormat="1" ht="27" customHeight="1" spans="2:18">
      <c r="B10" s="33" t="s">
        <v>16</v>
      </c>
      <c r="C10" s="35">
        <f>SUM(C11:C15)</f>
        <v>493015272</v>
      </c>
      <c r="D10" s="35">
        <f>SUM(D11:D15)</f>
        <v>-8000000</v>
      </c>
      <c r="E10" s="35">
        <f t="shared" ref="E10:N10" si="1">SUM(E11:E15)</f>
        <v>31761117.39</v>
      </c>
      <c r="F10" s="35">
        <f t="shared" si="1"/>
        <v>31693384.16</v>
      </c>
      <c r="G10" s="35">
        <f t="shared" si="1"/>
        <v>32370115.09</v>
      </c>
      <c r="H10" s="35">
        <f t="shared" si="1"/>
        <v>54017968.43</v>
      </c>
      <c r="I10" s="35">
        <f t="shared" si="1"/>
        <v>32579590.52</v>
      </c>
      <c r="J10" s="35">
        <f t="shared" si="1"/>
        <v>32977265.61</v>
      </c>
      <c r="K10" s="35">
        <f t="shared" si="1"/>
        <v>32423570.43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6">
        <f>+O11+O12+O13+O14+O15</f>
        <v>0</v>
      </c>
      <c r="P10" s="36">
        <f>+P11+P12+P13+P14+P15</f>
        <v>0</v>
      </c>
      <c r="Q10" s="35">
        <f>SUM(Q11:Q15)</f>
        <v>247823011.63</v>
      </c>
    </row>
    <row r="11" s="10" customFormat="1" ht="27" customHeight="1" spans="2:18">
      <c r="B11" s="37" t="s">
        <v>17</v>
      </c>
      <c r="C11" s="40">
        <v>375747353</v>
      </c>
      <c r="D11" s="39">
        <v>-8522822</v>
      </c>
      <c r="E11" s="40">
        <v>26334286.2</v>
      </c>
      <c r="F11" s="40">
        <v>26255586.2</v>
      </c>
      <c r="G11" s="40">
        <v>26901888.1</v>
      </c>
      <c r="H11" s="40">
        <v>26306936.2</v>
      </c>
      <c r="I11" s="40">
        <v>27085805.04</v>
      </c>
      <c r="J11" s="40">
        <v>27430973.93</v>
      </c>
      <c r="K11" s="40">
        <v>26887227.04</v>
      </c>
      <c r="L11" s="40">
        <v>0</v>
      </c>
      <c r="M11" s="40">
        <v>0</v>
      </c>
      <c r="N11" s="40">
        <v>0</v>
      </c>
      <c r="O11" s="39">
        <v>0</v>
      </c>
      <c r="P11" s="39">
        <v>0</v>
      </c>
      <c r="Q11" s="41">
        <f>+E11+F11+G11+H11+I11+J11+K11+L11+M11+N11+O11+P11</f>
        <v>187202702.71</v>
      </c>
    </row>
    <row r="12" s="10" customFormat="1" ht="27" customHeight="1" spans="2:18">
      <c r="B12" s="37" t="s">
        <v>18</v>
      </c>
      <c r="C12" s="40">
        <v>67781665</v>
      </c>
      <c r="D12" s="39">
        <v>522822</v>
      </c>
      <c r="E12" s="40">
        <v>1437000</v>
      </c>
      <c r="F12" s="40">
        <v>1460000</v>
      </c>
      <c r="G12" s="40">
        <v>1460000</v>
      </c>
      <c r="H12" s="40">
        <v>23726107.21</v>
      </c>
      <c r="I12" s="40">
        <v>1460000</v>
      </c>
      <c r="J12" s="40">
        <v>1470000</v>
      </c>
      <c r="K12" s="40">
        <v>1470000</v>
      </c>
      <c r="L12" s="40">
        <v>0</v>
      </c>
      <c r="M12" s="40">
        <v>0</v>
      </c>
      <c r="N12" s="40">
        <v>0</v>
      </c>
      <c r="O12" s="39">
        <v>0</v>
      </c>
      <c r="P12" s="39">
        <v>0</v>
      </c>
      <c r="Q12" s="41">
        <f>+E12+F12+G12+H12+I12+J12+K12+L12+M12+N12+O12+P12</f>
        <v>32483107.21</v>
      </c>
    </row>
    <row r="13" s="10" customFormat="1" ht="27" customHeight="1" spans="2:18">
      <c r="B13" s="37" t="s">
        <v>19</v>
      </c>
      <c r="C13" s="40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8">
      <c r="B14" s="37" t="s">
        <v>20</v>
      </c>
      <c r="C14" s="40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8">
      <c r="B15" s="37" t="s">
        <v>21</v>
      </c>
      <c r="C15" s="40">
        <v>49486254</v>
      </c>
      <c r="D15" s="39"/>
      <c r="E15" s="40">
        <v>3989831.19</v>
      </c>
      <c r="F15" s="40">
        <v>3977797.96</v>
      </c>
      <c r="G15" s="40">
        <v>4008226.99</v>
      </c>
      <c r="H15" s="40">
        <v>3984925.02</v>
      </c>
      <c r="I15" s="40">
        <v>4033785.48</v>
      </c>
      <c r="J15" s="40">
        <v>4076291.68</v>
      </c>
      <c r="K15" s="40">
        <v>4066343.39</v>
      </c>
      <c r="L15" s="40">
        <v>0</v>
      </c>
      <c r="M15" s="40">
        <v>0</v>
      </c>
      <c r="N15" s="40">
        <v>0</v>
      </c>
      <c r="O15" s="39">
        <v>0</v>
      </c>
      <c r="P15" s="39">
        <v>0</v>
      </c>
      <c r="Q15" s="41">
        <f>+E15+F15+G15+H15+I15+J15+K15+L15+M15+N15+O15+P15</f>
        <v>28137201.71</v>
      </c>
    </row>
    <row r="16" s="10" customFormat="1" ht="27" customHeight="1" spans="2:18">
      <c r="B16" s="33" t="s">
        <v>22</v>
      </c>
      <c r="C16" s="35">
        <f>SUM(C17:C25)</f>
        <v>180335892</v>
      </c>
      <c r="D16" s="35">
        <f>SUM(D17:D25)</f>
        <v>-31949712</v>
      </c>
      <c r="E16" s="35">
        <f t="shared" ref="E16:P16" si="2">SUM(E17:E25)</f>
        <v>2755269.55</v>
      </c>
      <c r="F16" s="35">
        <f t="shared" si="2"/>
        <v>10551527.29</v>
      </c>
      <c r="G16" s="35">
        <f t="shared" si="2"/>
        <v>7600979.48</v>
      </c>
      <c r="H16" s="35">
        <f t="shared" si="2"/>
        <v>13731624.96</v>
      </c>
      <c r="I16" s="35">
        <f t="shared" si="2"/>
        <v>4842043.31</v>
      </c>
      <c r="J16" s="35">
        <f t="shared" si="2"/>
        <v>13468296.15</v>
      </c>
      <c r="K16" s="35">
        <f t="shared" si="2"/>
        <v>7708140.95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6">
        <f>+Q17+Q18+Q19+Q20+Q21+Q22+Q23+Q24+Q25</f>
        <v>60657881.69</v>
      </c>
    </row>
    <row r="17" s="10" customFormat="1" ht="27" customHeight="1" spans="2:17">
      <c r="B17" s="37" t="s">
        <v>23</v>
      </c>
      <c r="C17" s="40">
        <v>33780000</v>
      </c>
      <c r="D17" s="39">
        <v>2000</v>
      </c>
      <c r="E17" s="40">
        <v>1991078.74</v>
      </c>
      <c r="F17" s="40">
        <v>2145419.21</v>
      </c>
      <c r="G17" s="40">
        <v>2871016.63</v>
      </c>
      <c r="H17" s="40">
        <v>3307631.68</v>
      </c>
      <c r="I17" s="40">
        <v>2149961.96</v>
      </c>
      <c r="J17" s="40">
        <v>4580946.34</v>
      </c>
      <c r="K17" s="40">
        <v>3489759.29</v>
      </c>
      <c r="L17" s="40">
        <v>0</v>
      </c>
      <c r="M17" s="40">
        <v>0</v>
      </c>
      <c r="N17" s="40">
        <v>0</v>
      </c>
      <c r="O17" s="39">
        <v>0</v>
      </c>
      <c r="P17" s="39">
        <v>0</v>
      </c>
      <c r="Q17" s="41">
        <f t="shared" ref="Q17:Q83" si="3">+E17+F17+G17+H17+I17+J17+K17+L17+M17+N17+O17+P17</f>
        <v>20535813.85</v>
      </c>
    </row>
    <row r="18" s="10" customFormat="1" ht="27" customHeight="1" spans="2:17">
      <c r="B18" s="37" t="s">
        <v>24</v>
      </c>
      <c r="C18" s="40">
        <v>5800000</v>
      </c>
      <c r="D18" s="39">
        <v>400000</v>
      </c>
      <c r="E18" s="40">
        <v>0</v>
      </c>
      <c r="F18" s="40">
        <v>488754.68</v>
      </c>
      <c r="G18" s="40">
        <v>766194.3</v>
      </c>
      <c r="H18" s="40">
        <v>99200</v>
      </c>
      <c r="I18" s="40">
        <v>262372.5</v>
      </c>
      <c r="J18" s="40">
        <v>23600</v>
      </c>
      <c r="K18" s="40">
        <v>512365.2</v>
      </c>
      <c r="L18" s="40">
        <v>0</v>
      </c>
      <c r="M18" s="40">
        <v>0</v>
      </c>
      <c r="N18" s="40">
        <v>0</v>
      </c>
      <c r="O18" s="39"/>
      <c r="P18" s="39">
        <v>0</v>
      </c>
      <c r="Q18" s="41">
        <f t="shared" si="3"/>
        <v>2152486.68</v>
      </c>
    </row>
    <row r="19" s="10" customFormat="1" ht="27" customHeight="1" spans="2:17">
      <c r="B19" s="37" t="s">
        <v>25</v>
      </c>
      <c r="C19" s="40">
        <v>31000000</v>
      </c>
      <c r="D19" s="39">
        <v>-21037512</v>
      </c>
      <c r="E19" s="40">
        <v>0</v>
      </c>
      <c r="F19" s="40">
        <v>273230</v>
      </c>
      <c r="G19" s="40">
        <v>142192</v>
      </c>
      <c r="H19" s="40">
        <v>954600</v>
      </c>
      <c r="I19" s="40">
        <v>573960</v>
      </c>
      <c r="J19" s="40">
        <v>110900</v>
      </c>
      <c r="K19" s="40">
        <v>436762.5</v>
      </c>
      <c r="L19" s="40"/>
      <c r="M19" s="40"/>
      <c r="N19" s="40"/>
      <c r="O19" s="39"/>
      <c r="P19" s="39"/>
      <c r="Q19" s="41">
        <f t="shared" si="3"/>
        <v>2491644.5</v>
      </c>
    </row>
    <row r="20" s="10" customFormat="1" ht="27" customHeight="1" spans="2:17">
      <c r="B20" s="37" t="s">
        <v>26</v>
      </c>
      <c r="C20" s="40">
        <v>2600000</v>
      </c>
      <c r="D20" s="39">
        <v>-1570200</v>
      </c>
      <c r="E20" s="40">
        <v>0</v>
      </c>
      <c r="F20" s="40">
        <v>28000</v>
      </c>
      <c r="G20" s="40">
        <v>0</v>
      </c>
      <c r="H20" s="40"/>
      <c r="I20" s="40">
        <v>1840</v>
      </c>
      <c r="J20" s="40"/>
      <c r="K20" s="40">
        <v>161706</v>
      </c>
      <c r="L20" s="40"/>
      <c r="M20" s="40"/>
      <c r="N20" s="40"/>
      <c r="O20" s="39"/>
      <c r="P20" s="39"/>
      <c r="Q20" s="41">
        <f t="shared" si="3"/>
        <v>191546</v>
      </c>
    </row>
    <row r="21" s="10" customFormat="1" ht="27" customHeight="1" spans="2:17">
      <c r="B21" s="37" t="s">
        <v>27</v>
      </c>
      <c r="C21" s="40">
        <v>13025891</v>
      </c>
      <c r="D21" s="39">
        <v>2476000</v>
      </c>
      <c r="E21" s="40">
        <v>565259.18</v>
      </c>
      <c r="F21" s="40">
        <v>1578144.83</v>
      </c>
      <c r="G21" s="40">
        <v>483435.89</v>
      </c>
      <c r="H21" s="40">
        <v>2592326.53</v>
      </c>
      <c r="I21" s="40">
        <v>21956.48</v>
      </c>
      <c r="J21" s="40">
        <v>480000</v>
      </c>
      <c r="K21" s="40"/>
      <c r="L21" s="40"/>
      <c r="M21" s="40"/>
      <c r="N21" s="40"/>
      <c r="O21" s="39"/>
      <c r="P21" s="39"/>
      <c r="Q21" s="41">
        <f t="shared" si="3"/>
        <v>5721122.91</v>
      </c>
    </row>
    <row r="22" s="10" customFormat="1" ht="27" customHeight="1" spans="2:17">
      <c r="B22" s="37" t="s">
        <v>28</v>
      </c>
      <c r="C22" s="40">
        <v>12600000</v>
      </c>
      <c r="D22" s="39"/>
      <c r="E22" s="40"/>
      <c r="F22" s="40">
        <v>1369799.12</v>
      </c>
      <c r="G22" s="40">
        <v>746770.61</v>
      </c>
      <c r="H22" s="40">
        <v>753330.02</v>
      </c>
      <c r="I22" s="40">
        <v>1306359.42</v>
      </c>
      <c r="J22" s="40">
        <v>803067.84</v>
      </c>
      <c r="K22" s="40">
        <v>802993.47</v>
      </c>
      <c r="L22" s="40"/>
      <c r="M22" s="40"/>
      <c r="N22" s="40"/>
      <c r="O22" s="39"/>
      <c r="P22" s="39"/>
      <c r="Q22" s="41">
        <f t="shared" si="3"/>
        <v>5782320.48</v>
      </c>
    </row>
    <row r="23" s="10" customFormat="1" ht="45.75" customHeight="1" spans="2:17">
      <c r="B23" s="42" t="s">
        <v>29</v>
      </c>
      <c r="C23" s="40">
        <v>29590000</v>
      </c>
      <c r="D23" s="39">
        <v>-10920000</v>
      </c>
      <c r="E23" s="40">
        <v>0</v>
      </c>
      <c r="F23" s="40">
        <v>843209.61</v>
      </c>
      <c r="G23" s="40">
        <v>239337.94</v>
      </c>
      <c r="H23" s="40">
        <v>1710896.28</v>
      </c>
      <c r="I23" s="40">
        <v>124127.36</v>
      </c>
      <c r="J23" s="40">
        <v>170605.67</v>
      </c>
      <c r="K23" s="40">
        <v>473491.49</v>
      </c>
      <c r="L23" s="40"/>
      <c r="M23" s="40"/>
      <c r="N23" s="40"/>
      <c r="O23" s="39"/>
      <c r="P23" s="39"/>
      <c r="Q23" s="41">
        <f t="shared" si="3"/>
        <v>3561668.35</v>
      </c>
    </row>
    <row r="24" s="10" customFormat="1" ht="43.5" customHeight="1" spans="2:17">
      <c r="B24" s="42" t="s">
        <v>30</v>
      </c>
      <c r="C24" s="40">
        <v>30340000</v>
      </c>
      <c r="D24" s="39">
        <v>-17400000</v>
      </c>
      <c r="E24" s="40">
        <v>198931.63</v>
      </c>
      <c r="F24" s="40">
        <v>1382086.64</v>
      </c>
      <c r="G24" s="40">
        <v>418720.11</v>
      </c>
      <c r="H24" s="40">
        <v>484953.45</v>
      </c>
      <c r="I24" s="40">
        <v>401465.59</v>
      </c>
      <c r="J24" s="40">
        <v>554550</v>
      </c>
      <c r="K24" s="40">
        <v>255940</v>
      </c>
      <c r="L24" s="40"/>
      <c r="M24" s="40"/>
      <c r="N24" s="40"/>
      <c r="O24" s="39"/>
      <c r="P24" s="39"/>
      <c r="Q24" s="41">
        <f t="shared" si="3"/>
        <v>3696647.42</v>
      </c>
    </row>
    <row r="25" s="10" customFormat="1" ht="27" customHeight="1" spans="2:17">
      <c r="B25" s="37" t="s">
        <v>31</v>
      </c>
      <c r="C25" s="40">
        <v>21600001</v>
      </c>
      <c r="D25" s="39">
        <v>16100000</v>
      </c>
      <c r="E25" s="40"/>
      <c r="F25" s="40">
        <v>2442883.2</v>
      </c>
      <c r="G25" s="40">
        <v>1933312</v>
      </c>
      <c r="H25" s="40">
        <v>3828687</v>
      </c>
      <c r="I25" s="40">
        <v>0</v>
      </c>
      <c r="J25" s="40">
        <v>6744626.3</v>
      </c>
      <c r="K25" s="40">
        <v>1575123</v>
      </c>
      <c r="L25" s="40">
        <v>0</v>
      </c>
      <c r="M25" s="40"/>
      <c r="N25" s="40">
        <v>0</v>
      </c>
      <c r="O25" s="43"/>
      <c r="P25" s="39"/>
      <c r="Q25" s="41">
        <f t="shared" si="3"/>
        <v>16524631.5</v>
      </c>
    </row>
    <row r="26" s="10" customFormat="1" ht="27" customHeight="1" spans="2:17">
      <c r="B26" s="33" t="s">
        <v>32</v>
      </c>
      <c r="C26" s="35">
        <f>SUM(C27:C35)</f>
        <v>309474472</v>
      </c>
      <c r="D26" s="35">
        <f>SUM(D27:D35)</f>
        <v>-8761800</v>
      </c>
      <c r="E26" s="35">
        <f t="shared" ref="E26:P26" si="4">SUM(E27:E35)</f>
        <v>0</v>
      </c>
      <c r="F26" s="35">
        <f t="shared" si="4"/>
        <v>34303911.8</v>
      </c>
      <c r="G26" s="35">
        <f t="shared" si="4"/>
        <v>5893318.05</v>
      </c>
      <c r="H26" s="35">
        <f t="shared" si="4"/>
        <v>67261489.53</v>
      </c>
      <c r="I26" s="35">
        <f t="shared" si="4"/>
        <v>10636972.05</v>
      </c>
      <c r="J26" s="35">
        <f t="shared" si="4"/>
        <v>3597286.85</v>
      </c>
      <c r="K26" s="35">
        <f t="shared" si="4"/>
        <v>2781055.8</v>
      </c>
      <c r="L26" s="35">
        <f t="shared" si="4"/>
        <v>0</v>
      </c>
      <c r="M26" s="35">
        <f t="shared" si="4"/>
        <v>0</v>
      </c>
      <c r="N26" s="35">
        <f t="shared" si="4"/>
        <v>0</v>
      </c>
      <c r="O26" s="35">
        <f t="shared" si="4"/>
        <v>0</v>
      </c>
      <c r="P26" s="35">
        <f t="shared" si="4"/>
        <v>0</v>
      </c>
      <c r="Q26" s="36">
        <f>+Q27+Q28+Q29+Q30+Q31+Q33+Q32+Q34+Q35+Q36+Q37</f>
        <v>124474034.08</v>
      </c>
    </row>
    <row r="27" s="10" customFormat="1" ht="27" customHeight="1" spans="2:17">
      <c r="B27" s="37" t="s">
        <v>33</v>
      </c>
      <c r="C27" s="40">
        <v>7700000</v>
      </c>
      <c r="D27" s="39">
        <v>-3980000</v>
      </c>
      <c r="E27" s="40">
        <v>0</v>
      </c>
      <c r="F27" s="40">
        <v>33830</v>
      </c>
      <c r="G27" s="40">
        <v>0</v>
      </c>
      <c r="H27" s="40"/>
      <c r="I27" s="40">
        <v>225648.92</v>
      </c>
      <c r="J27" s="40">
        <v>746690</v>
      </c>
      <c r="K27" s="40">
        <v>380688</v>
      </c>
      <c r="L27" s="40">
        <v>0</v>
      </c>
      <c r="M27" s="40"/>
      <c r="N27" s="40"/>
      <c r="O27" s="40"/>
      <c r="P27" s="39"/>
      <c r="Q27" s="41">
        <f t="shared" si="3"/>
        <v>1386856.92</v>
      </c>
    </row>
    <row r="28" s="10" customFormat="1" ht="27" customHeight="1" spans="2:17">
      <c r="B28" s="37" t="s">
        <v>34</v>
      </c>
      <c r="C28" s="40">
        <v>10700000</v>
      </c>
      <c r="D28" s="39">
        <v>-9109800</v>
      </c>
      <c r="E28" s="40">
        <v>0</v>
      </c>
      <c r="F28" s="40">
        <v>156940</v>
      </c>
      <c r="G28" s="40">
        <v>76700</v>
      </c>
      <c r="H28" s="40">
        <v>63720</v>
      </c>
      <c r="I28" s="40">
        <v>1705.1</v>
      </c>
      <c r="J28" s="40">
        <v>0</v>
      </c>
      <c r="K28" s="40">
        <v>0</v>
      </c>
      <c r="L28" s="40">
        <v>0</v>
      </c>
      <c r="M28" s="40"/>
      <c r="N28" s="40">
        <v>0</v>
      </c>
      <c r="O28" s="40"/>
      <c r="P28" s="39"/>
      <c r="Q28" s="41">
        <f t="shared" si="3"/>
        <v>299065.1</v>
      </c>
    </row>
    <row r="29" s="10" customFormat="1" ht="27" customHeight="1" spans="2:17">
      <c r="B29" s="37" t="s">
        <v>35</v>
      </c>
      <c r="C29" s="40">
        <v>228422500</v>
      </c>
      <c r="D29" s="39">
        <v>10630000</v>
      </c>
      <c r="E29" s="40">
        <v>0</v>
      </c>
      <c r="F29" s="40">
        <v>33400000</v>
      </c>
      <c r="G29" s="40">
        <v>0</v>
      </c>
      <c r="H29" s="40">
        <v>66785036.8</v>
      </c>
      <c r="I29" s="40">
        <v>631642.08</v>
      </c>
      <c r="J29" s="40">
        <v>0</v>
      </c>
      <c r="K29" s="40">
        <v>256791.6</v>
      </c>
      <c r="L29" s="40">
        <v>0</v>
      </c>
      <c r="M29" s="40"/>
      <c r="N29" s="40"/>
      <c r="O29" s="40"/>
      <c r="P29" s="39"/>
      <c r="Q29" s="41">
        <f t="shared" si="3"/>
        <v>101073470.48</v>
      </c>
    </row>
    <row r="30" s="10" customFormat="1" ht="27" customHeight="1" spans="2:17">
      <c r="B30" s="37" t="s">
        <v>36</v>
      </c>
      <c r="C30" s="40">
        <v>3499999</v>
      </c>
      <c r="D30" s="39">
        <v>-3000000</v>
      </c>
      <c r="E30" s="40">
        <v>0</v>
      </c>
      <c r="F30" s="40"/>
      <c r="G30" s="40">
        <v>0</v>
      </c>
      <c r="H30" s="40"/>
      <c r="I30" s="40"/>
      <c r="J30" s="40">
        <v>0</v>
      </c>
      <c r="K30" s="40">
        <v>0</v>
      </c>
      <c r="L30" s="40">
        <v>0</v>
      </c>
      <c r="M30" s="40"/>
      <c r="N30" s="40"/>
      <c r="O30" s="40"/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40">
        <v>3010000</v>
      </c>
      <c r="D31" s="39">
        <v>-1300000</v>
      </c>
      <c r="E31" s="40">
        <v>0</v>
      </c>
      <c r="F31" s="40">
        <v>15750</v>
      </c>
      <c r="G31" s="40">
        <v>0</v>
      </c>
      <c r="H31" s="40">
        <v>39243.26</v>
      </c>
      <c r="I31" s="40">
        <v>103636.69</v>
      </c>
      <c r="J31" s="40">
        <v>587162.15</v>
      </c>
      <c r="K31" s="40">
        <v>40415</v>
      </c>
      <c r="L31" s="40">
        <v>0</v>
      </c>
      <c r="M31" s="40"/>
      <c r="N31" s="40"/>
      <c r="O31" s="40"/>
      <c r="P31" s="39"/>
      <c r="Q31" s="41">
        <f t="shared" si="3"/>
        <v>786207.1</v>
      </c>
    </row>
    <row r="32" s="10" customFormat="1" ht="42" customHeight="1" spans="2:17">
      <c r="B32" s="37" t="s">
        <v>38</v>
      </c>
      <c r="C32" s="40">
        <v>290000</v>
      </c>
      <c r="D32" s="39">
        <v>410000</v>
      </c>
      <c r="E32" s="40">
        <v>0</v>
      </c>
      <c r="F32" s="40"/>
      <c r="G32" s="40">
        <v>0</v>
      </c>
      <c r="H32" s="40">
        <v>5310</v>
      </c>
      <c r="I32" s="40">
        <v>442507.89</v>
      </c>
      <c r="J32" s="40"/>
      <c r="K32" s="40">
        <v>0</v>
      </c>
      <c r="L32" s="40">
        <v>0</v>
      </c>
      <c r="M32" s="40"/>
      <c r="N32" s="40"/>
      <c r="O32" s="40"/>
      <c r="P32" s="39"/>
      <c r="Q32" s="41">
        <f t="shared" si="3"/>
        <v>447817.89</v>
      </c>
    </row>
    <row r="33" s="10" customFormat="1" ht="39" customHeight="1" spans="2:17">
      <c r="B33" s="42" t="s">
        <v>39</v>
      </c>
      <c r="C33" s="40">
        <v>15595000</v>
      </c>
      <c r="D33" s="39">
        <v>-2100000</v>
      </c>
      <c r="E33" s="40">
        <v>0</v>
      </c>
      <c r="F33" s="40"/>
      <c r="G33" s="40">
        <v>5760000</v>
      </c>
      <c r="H33" s="40">
        <v>54943.75</v>
      </c>
      <c r="I33" s="40">
        <v>444407.04</v>
      </c>
      <c r="J33" s="40">
        <v>35990</v>
      </c>
      <c r="K33" s="40">
        <v>11210</v>
      </c>
      <c r="L33" s="40">
        <v>0</v>
      </c>
      <c r="M33" s="40"/>
      <c r="N33" s="40">
        <v>0</v>
      </c>
      <c r="O33" s="40"/>
      <c r="P33" s="39"/>
      <c r="Q33" s="41">
        <f t="shared" si="3"/>
        <v>6306550.79</v>
      </c>
    </row>
    <row r="34" s="10" customFormat="1" ht="39.75" customHeight="1" spans="2:17">
      <c r="B34" s="42" t="s">
        <v>40</v>
      </c>
      <c r="C34" s="40"/>
      <c r="D34" s="39"/>
      <c r="E34" s="40"/>
      <c r="F34" s="40"/>
      <c r="G34" s="40"/>
      <c r="H34" s="40"/>
      <c r="I34" s="40">
        <v>0</v>
      </c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40">
        <v>40256973</v>
      </c>
      <c r="D35" s="39">
        <v>-312000</v>
      </c>
      <c r="E35" s="40">
        <v>0</v>
      </c>
      <c r="F35" s="40">
        <v>697391.8</v>
      </c>
      <c r="G35" s="40">
        <v>56618.05</v>
      </c>
      <c r="H35" s="40">
        <v>313235.72</v>
      </c>
      <c r="I35" s="40">
        <v>8787424.33</v>
      </c>
      <c r="J35" s="40">
        <v>2227444.7</v>
      </c>
      <c r="K35" s="40">
        <v>2091951.2</v>
      </c>
      <c r="L35" s="40"/>
      <c r="M35" s="40"/>
      <c r="N35" s="40"/>
      <c r="O35" s="40"/>
      <c r="P35" s="39"/>
      <c r="Q35" s="41">
        <f t="shared" si="3"/>
        <v>14174065.8</v>
      </c>
    </row>
    <row r="36" s="10" customFormat="1" ht="27" customHeight="1" spans="2:17">
      <c r="B36" s="33" t="s">
        <v>42</v>
      </c>
      <c r="C36" s="35">
        <f>SUM(C37:C42)</f>
        <v>3000000</v>
      </c>
      <c r="D36" s="35">
        <f>SUM(D37:D42)</f>
        <v>-3000000</v>
      </c>
      <c r="E36" s="35">
        <f t="shared" ref="E36:M36" si="5">SUM(E37:E42)</f>
        <v>0</v>
      </c>
      <c r="F36" s="35"/>
      <c r="G36" s="35">
        <f t="shared" si="5"/>
        <v>0</v>
      </c>
      <c r="H36" s="35"/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40">
        <v>3000000</v>
      </c>
      <c r="D37" s="39">
        <v>-3000000</v>
      </c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3"/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40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3"/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40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3"/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40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3"/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40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3"/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40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3"/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40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3"/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5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3"/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40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3"/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40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3"/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40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3"/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4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3"/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4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3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4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3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4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3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5">
        <f>SUM(C53:C61)</f>
        <v>35070000</v>
      </c>
      <c r="D52" s="35">
        <f>SUM(D53:D61)</f>
        <v>33411512</v>
      </c>
      <c r="E52" s="35">
        <f t="shared" ref="E52:P52" si="6">SUM(E53:E61)</f>
        <v>0</v>
      </c>
      <c r="F52" s="35">
        <f t="shared" si="6"/>
        <v>1807937.53</v>
      </c>
      <c r="G52" s="35">
        <f t="shared" si="6"/>
        <v>4599694.22</v>
      </c>
      <c r="H52" s="35">
        <f t="shared" si="6"/>
        <v>1003200.06</v>
      </c>
      <c r="I52" s="35">
        <f t="shared" si="6"/>
        <v>10554358.96</v>
      </c>
      <c r="J52" s="35">
        <f t="shared" si="6"/>
        <v>2498200.79</v>
      </c>
      <c r="K52" s="35">
        <f t="shared" si="6"/>
        <v>6425345.79</v>
      </c>
      <c r="L52" s="35">
        <f t="shared" si="6"/>
        <v>0</v>
      </c>
      <c r="M52" s="35">
        <f t="shared" si="6"/>
        <v>0</v>
      </c>
      <c r="N52" s="35">
        <f t="shared" si="6"/>
        <v>0</v>
      </c>
      <c r="O52" s="35">
        <f t="shared" si="6"/>
        <v>0</v>
      </c>
      <c r="P52" s="35">
        <f t="shared" si="6"/>
        <v>0</v>
      </c>
      <c r="Q52" s="36">
        <f>+Q53+Q54+Q55+Q56+Q57+Q58+Q59+Q60+Q61</f>
        <v>26888737.35</v>
      </c>
    </row>
    <row r="53" s="10" customFormat="1" ht="27" customHeight="1" spans="2:17">
      <c r="B53" s="37" t="s">
        <v>58</v>
      </c>
      <c r="C53" s="40">
        <v>9300000</v>
      </c>
      <c r="D53" s="39">
        <v>30800000</v>
      </c>
      <c r="E53" s="40">
        <v>0</v>
      </c>
      <c r="F53" s="40">
        <v>1746558.53</v>
      </c>
      <c r="G53" s="40">
        <v>218182</v>
      </c>
      <c r="H53" s="40">
        <v>1003200.06</v>
      </c>
      <c r="I53" s="40">
        <v>9852008.8</v>
      </c>
      <c r="J53" s="40">
        <v>1253651.25</v>
      </c>
      <c r="K53" s="40">
        <v>5510845.79</v>
      </c>
      <c r="L53" s="40">
        <v>0</v>
      </c>
      <c r="M53" s="40"/>
      <c r="N53" s="40">
        <v>0</v>
      </c>
      <c r="O53" s="40"/>
      <c r="P53" s="39"/>
      <c r="Q53" s="41">
        <f t="shared" si="3"/>
        <v>19584446.43</v>
      </c>
    </row>
    <row r="54" s="10" customFormat="1" ht="42" customHeight="1" spans="2:17">
      <c r="B54" s="42" t="s">
        <v>59</v>
      </c>
      <c r="C54" s="40">
        <v>1000000</v>
      </c>
      <c r="D54" s="39">
        <v>140000</v>
      </c>
      <c r="E54" s="40">
        <v>0</v>
      </c>
      <c r="F54" s="40">
        <v>61379</v>
      </c>
      <c r="G54" s="40">
        <v>0</v>
      </c>
      <c r="H54" s="40"/>
      <c r="I54" s="40"/>
      <c r="J54" s="40"/>
      <c r="K54" s="40">
        <v>914500</v>
      </c>
      <c r="L54" s="40">
        <v>0</v>
      </c>
      <c r="M54" s="40"/>
      <c r="N54" s="40"/>
      <c r="O54" s="40">
        <v>0</v>
      </c>
      <c r="P54" s="39"/>
      <c r="Q54" s="41">
        <f t="shared" si="3"/>
        <v>975879</v>
      </c>
    </row>
    <row r="55" s="10" customFormat="1" ht="27" customHeight="1" spans="2:17">
      <c r="B55" s="37" t="s">
        <v>60</v>
      </c>
      <c r="C55" s="40">
        <v>550000</v>
      </c>
      <c r="D55" s="39"/>
      <c r="E55" s="40"/>
      <c r="F55" s="40"/>
      <c r="G55" s="40"/>
      <c r="H55" s="40"/>
      <c r="I55" s="40"/>
      <c r="J55" s="40"/>
      <c r="K55" s="40">
        <v>0</v>
      </c>
      <c r="L55" s="40">
        <v>0</v>
      </c>
      <c r="M55" s="40">
        <v>0</v>
      </c>
      <c r="N55" s="40"/>
      <c r="O55" s="40">
        <v>0</v>
      </c>
      <c r="P55" s="39"/>
      <c r="Q55" s="41">
        <f t="shared" si="3"/>
        <v>0</v>
      </c>
    </row>
    <row r="56" s="10" customFormat="1" ht="38.25" customHeight="1" spans="2:17">
      <c r="B56" s="42" t="s">
        <v>61</v>
      </c>
      <c r="C56" s="40">
        <v>12120000</v>
      </c>
      <c r="D56" s="39">
        <v>820000</v>
      </c>
      <c r="E56" s="40">
        <v>0</v>
      </c>
      <c r="F56" s="40">
        <v>0</v>
      </c>
      <c r="G56" s="40"/>
      <c r="H56" s="40"/>
      <c r="I56" s="40">
        <v>20576.84</v>
      </c>
      <c r="J56" s="40"/>
      <c r="K56" s="40"/>
      <c r="L56" s="40"/>
      <c r="M56" s="40"/>
      <c r="N56" s="40"/>
      <c r="O56" s="40">
        <v>0</v>
      </c>
      <c r="P56" s="39"/>
      <c r="Q56" s="41">
        <f t="shared" si="3"/>
        <v>20576.84</v>
      </c>
    </row>
    <row r="57" s="10" customFormat="1" ht="27" customHeight="1" spans="2:17">
      <c r="B57" s="37" t="s">
        <v>62</v>
      </c>
      <c r="C57" s="40">
        <v>8200000</v>
      </c>
      <c r="D57" s="39">
        <v>-1100000</v>
      </c>
      <c r="E57" s="40"/>
      <c r="F57" s="40"/>
      <c r="G57" s="40"/>
      <c r="H57" s="40"/>
      <c r="I57" s="40">
        <v>543713.32</v>
      </c>
      <c r="J57" s="40"/>
      <c r="K57" s="40">
        <v>0</v>
      </c>
      <c r="L57" s="40">
        <v>0</v>
      </c>
      <c r="M57" s="40"/>
      <c r="N57" s="40">
        <v>0</v>
      </c>
      <c r="O57" s="40"/>
      <c r="P57" s="39"/>
      <c r="Q57" s="41">
        <f t="shared" si="3"/>
        <v>543713.32</v>
      </c>
    </row>
    <row r="58" s="10" customFormat="1" ht="27" customHeight="1" spans="2:17">
      <c r="B58" s="37" t="s">
        <v>63</v>
      </c>
      <c r="C58" s="40">
        <v>400000</v>
      </c>
      <c r="D58" s="39">
        <v>570000</v>
      </c>
      <c r="E58" s="40"/>
      <c r="F58" s="40"/>
      <c r="G58" s="40"/>
      <c r="H58" s="40"/>
      <c r="I58" s="40">
        <v>0</v>
      </c>
      <c r="J58" s="40">
        <v>306328</v>
      </c>
      <c r="K58" s="40">
        <v>0</v>
      </c>
      <c r="L58" s="40">
        <v>0</v>
      </c>
      <c r="M58" s="40"/>
      <c r="N58" s="40">
        <v>0</v>
      </c>
      <c r="O58" s="40"/>
      <c r="P58" s="39"/>
      <c r="Q58" s="41">
        <f t="shared" si="3"/>
        <v>306328</v>
      </c>
    </row>
    <row r="59" s="10" customFormat="1" ht="27" customHeight="1" spans="2:17">
      <c r="B59" s="37" t="s">
        <v>64</v>
      </c>
      <c r="C59" s="40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40">
        <v>3000000</v>
      </c>
      <c r="D60" s="39">
        <v>-2850000</v>
      </c>
      <c r="E60" s="40">
        <v>0</v>
      </c>
      <c r="F60" s="40">
        <v>0</v>
      </c>
      <c r="G60" s="40">
        <v>0</v>
      </c>
      <c r="H60" s="40"/>
      <c r="I60" s="40">
        <v>138060</v>
      </c>
      <c r="J60" s="40"/>
      <c r="K60" s="40"/>
      <c r="L60" s="40"/>
      <c r="M60" s="40"/>
      <c r="N60" s="40">
        <v>0</v>
      </c>
      <c r="O60" s="40"/>
      <c r="P60" s="39"/>
      <c r="Q60" s="41">
        <f t="shared" si="3"/>
        <v>138060</v>
      </c>
    </row>
    <row r="61" s="10" customFormat="1" ht="36.75" customHeight="1" spans="2:17">
      <c r="B61" s="42" t="s">
        <v>66</v>
      </c>
      <c r="C61" s="40">
        <v>500000</v>
      </c>
      <c r="D61" s="39">
        <v>5031512</v>
      </c>
      <c r="E61" s="40"/>
      <c r="F61" s="40"/>
      <c r="G61" s="40">
        <v>4381512.22</v>
      </c>
      <c r="H61" s="40"/>
      <c r="I61" s="40"/>
      <c r="J61" s="40">
        <v>938221.54</v>
      </c>
      <c r="K61" s="40"/>
      <c r="L61" s="40"/>
      <c r="M61" s="40"/>
      <c r="N61" s="40">
        <v>0</v>
      </c>
      <c r="O61" s="40"/>
      <c r="P61" s="39"/>
      <c r="Q61" s="41">
        <f t="shared" si="3"/>
        <v>5319733.76</v>
      </c>
    </row>
    <row r="62" s="10" customFormat="1" ht="27" customHeight="1" spans="2:17">
      <c r="B62" s="33" t="s">
        <v>67</v>
      </c>
      <c r="C62" s="35">
        <f>SUM(C63:C65)</f>
        <v>3900000</v>
      </c>
      <c r="D62" s="35">
        <f>+D63+D64+D65+D66</f>
        <v>18300000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v>0</v>
      </c>
      <c r="O62" s="40"/>
      <c r="P62" s="39"/>
      <c r="Q62" s="41">
        <f t="shared" si="3"/>
        <v>0</v>
      </c>
    </row>
    <row r="63" s="10" customFormat="1" ht="27" customHeight="1" spans="2:17">
      <c r="B63" s="37" t="s">
        <v>68</v>
      </c>
      <c r="C63" s="40">
        <v>3900000</v>
      </c>
      <c r="D63" s="39">
        <v>18300000</v>
      </c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0</v>
      </c>
      <c r="O63" s="40"/>
      <c r="P63" s="39"/>
      <c r="Q63" s="41">
        <f t="shared" si="3"/>
        <v>0</v>
      </c>
    </row>
    <row r="64" s="10" customFormat="1" ht="27" customHeight="1" spans="2:17">
      <c r="B64" s="37" t="s">
        <v>69</v>
      </c>
      <c r="C64" s="40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40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40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5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40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40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5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40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40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40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8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167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168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168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167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168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168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2:17">
      <c r="B81" s="33" t="s">
        <v>86</v>
      </c>
      <c r="C81" s="167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2:17">
      <c r="B82" s="37" t="s">
        <v>87</v>
      </c>
      <c r="C82" s="168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2:17">
      <c r="B83" s="51" t="s">
        <v>88</v>
      </c>
      <c r="C83" s="53">
        <f>+C10+C16+C26+C36+C44+C52+C62+C67+C70</f>
        <v>1024795636</v>
      </c>
      <c r="D83" s="53">
        <f>+D10+D16+D26+D36+D52+D62</f>
        <v>0</v>
      </c>
      <c r="E83" s="53">
        <f t="shared" ref="E83:P83" si="8">+E10+E16+E26+E36+E44+E52+E62+E67+E70</f>
        <v>34516386.94</v>
      </c>
      <c r="F83" s="54">
        <f t="shared" si="8"/>
        <v>78356760.78</v>
      </c>
      <c r="G83" s="53">
        <f t="shared" si="8"/>
        <v>50464106.84</v>
      </c>
      <c r="H83" s="53">
        <f t="shared" si="8"/>
        <v>136014282.98</v>
      </c>
      <c r="I83" s="53">
        <f t="shared" si="8"/>
        <v>58612964.84</v>
      </c>
      <c r="J83" s="53">
        <f t="shared" si="8"/>
        <v>52541049.4</v>
      </c>
      <c r="K83" s="54">
        <f t="shared" si="8"/>
        <v>49338112.97</v>
      </c>
      <c r="L83" s="54">
        <f t="shared" si="8"/>
        <v>0</v>
      </c>
      <c r="M83" s="54">
        <f t="shared" si="8"/>
        <v>0</v>
      </c>
      <c r="N83" s="54">
        <f t="shared" si="8"/>
        <v>0</v>
      </c>
      <c r="O83" s="54">
        <f t="shared" si="8"/>
        <v>0</v>
      </c>
      <c r="P83" s="53">
        <f t="shared" si="8"/>
        <v>0</v>
      </c>
      <c r="Q83" s="55">
        <f t="shared" si="3"/>
        <v>459843664.75</v>
      </c>
    </row>
    <row r="84" ht="18.75" spans="2:17">
      <c r="B84" s="111" t="s">
        <v>124</v>
      </c>
      <c r="J84" s="122"/>
    </row>
    <row r="85" ht="18.75" spans="2:17">
      <c r="B85" s="112" t="s">
        <v>90</v>
      </c>
      <c r="J85" s="91"/>
    </row>
    <row r="86" ht="37.5" spans="2:17">
      <c r="B86" s="112" t="s">
        <v>91</v>
      </c>
    </row>
    <row r="87" ht="18.75" spans="2:17">
      <c r="B87" s="112" t="s">
        <v>92</v>
      </c>
    </row>
    <row r="88" ht="18.75" spans="2:17">
      <c r="B88" s="112" t="s">
        <v>93</v>
      </c>
    </row>
    <row r="89" ht="18.75" spans="2:17">
      <c r="B89" s="112" t="s">
        <v>94</v>
      </c>
    </row>
    <row r="90" ht="18.75" spans="2:17">
      <c r="B90" s="112" t="s">
        <v>95</v>
      </c>
    </row>
    <row r="91" ht="18.75" spans="2:17">
      <c r="B91" s="13"/>
    </row>
    <row r="92" ht="18.75" spans="2:17">
      <c r="B92" s="13"/>
    </row>
    <row r="93" ht="18.75" spans="2:17">
      <c r="B93" s="13"/>
    </row>
    <row r="94" ht="37.5" customHeight="1" spans="2:17">
      <c r="B94" s="62" t="s">
        <v>129</v>
      </c>
      <c r="H94" s="57"/>
      <c r="I94" s="57"/>
      <c r="J94" s="57"/>
      <c r="K94" s="58" t="s">
        <v>125</v>
      </c>
      <c r="L94" s="58"/>
      <c r="M94" s="58"/>
      <c r="N94" s="58"/>
    </row>
    <row r="95" ht="23.25" spans="2:17">
      <c r="B95" s="60" t="s">
        <v>130</v>
      </c>
      <c r="H95" s="169"/>
      <c r="I95" s="169"/>
      <c r="J95" s="169"/>
      <c r="K95" s="59" t="s">
        <v>131</v>
      </c>
      <c r="L95" s="59"/>
      <c r="M95" s="59"/>
      <c r="N95" s="59"/>
    </row>
    <row r="97" ht="33.75" customHeight="1" spans="1:17">
      <c r="A97" s="56" t="s">
        <v>97</v>
      </c>
      <c r="D97" s="58" t="s">
        <v>126</v>
      </c>
      <c r="E97" s="58"/>
      <c r="F97" s="5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ht="23.25" spans="1:17">
      <c r="D98" s="60" t="s">
        <v>132</v>
      </c>
      <c r="E98" s="60"/>
      <c r="F98" s="60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</row>
    <row r="99" ht="23.25" spans="1:17">
      <c r="B99" s="61"/>
      <c r="C99" s="61"/>
      <c r="D99" s="61"/>
    </row>
    <row r="100" ht="23.25" spans="1:17">
      <c r="B100" s="62"/>
      <c r="C100" s="62"/>
      <c r="D100" s="62"/>
    </row>
    <row r="101" ht="23.25" spans="1:17">
      <c r="B101" s="63" t="s">
        <v>98</v>
      </c>
      <c r="C101" s="63"/>
      <c r="D101" s="63"/>
    </row>
    <row r="102" ht="21" customHeight="1" spans="1:17">
      <c r="B102" s="61" t="s">
        <v>99</v>
      </c>
      <c r="C102" s="61"/>
    </row>
    <row r="103" ht="21" spans="1:17">
      <c r="B103" s="64"/>
      <c r="C103" s="64"/>
      <c r="D103" s="64"/>
    </row>
  </sheetData>
  <mergeCells count="14">
    <mergeCell ref="B1:Q1"/>
    <mergeCell ref="B2:Q2"/>
    <mergeCell ref="B3:Q3"/>
    <mergeCell ref="B4:Q4"/>
    <mergeCell ref="E7:Q7"/>
    <mergeCell ref="K94:N94"/>
    <mergeCell ref="K95:N95"/>
    <mergeCell ref="D97:F97"/>
    <mergeCell ref="D98:F98"/>
    <mergeCell ref="B100:D100"/>
    <mergeCell ref="B103:D103"/>
    <mergeCell ref="B7:B8"/>
    <mergeCell ref="C7:C8"/>
    <mergeCell ref="D7:D8"/>
  </mergeCells>
  <pageMargins left="0.26" right="0.61" top="0.748031496062992" bottom="0.748031496062992" header="0.31496062992126" footer="0.31496062992126"/>
  <pageSetup paperSize="119" scale="36" orientation="landscape"/>
  <headerFooter/>
  <rowBreaks count="1" manualBreakCount="1">
    <brk id="48" max="16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3"/>
  <sheetViews>
    <sheetView view="pageBreakPreview" zoomScale="60" zoomScaleNormal="100" topLeftCell="B1" workbookViewId="0">
      <pane xSplit="1" topLeftCell="I1" activePane="topRight" state="frozen"/>
      <selection/>
      <selection pane="topRight" activeCell="J11" sqref="J11"/>
    </sheetView>
  </sheetViews>
  <sheetFormatPr defaultColWidth="11.4285714285714" defaultRowHeight="15"/>
  <cols>
    <col min="1" max="1" width="5.85714285714286" hidden="1" customWidth="1"/>
    <col min="2" max="2" width="80.7142857142857" customWidth="1"/>
    <col min="3" max="3" width="36.4285714285714" customWidth="1"/>
    <col min="4" max="4" width="24" customWidth="1"/>
    <col min="5" max="5" width="25.8571428571429" customWidth="1"/>
    <col min="6" max="6" width="21.5714285714286" customWidth="1"/>
    <col min="7" max="7" width="26.5714285714286" customWidth="1"/>
    <col min="8" max="8" width="28.5714285714286" customWidth="1"/>
    <col min="9" max="9" width="26.2857142857143" customWidth="1"/>
    <col min="10" max="10" width="24.1428571428571" customWidth="1"/>
    <col min="11" max="11" width="22" customWidth="1"/>
    <col min="12" max="12" width="24.5714285714286" customWidth="1"/>
    <col min="13" max="13" width="24.7142857142857" customWidth="1"/>
    <col min="14" max="14" width="26.5714285714286" customWidth="1"/>
    <col min="15" max="15" width="22.5714285714286" customWidth="1"/>
    <col min="16" max="16" width="14.5714285714286" customWidth="1"/>
    <col min="17" max="17" width="25" customWidth="1"/>
  </cols>
  <sheetData>
    <row r="1" ht="28.5" customHeight="1" spans="2:18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ht="21" customHeight="1" spans="2:18"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ht="18.75" spans="2:18">
      <c r="B3" s="17">
        <v>2022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ht="15.75" customHeight="1" spans="2:18">
      <c r="B4" s="89" t="s">
        <v>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13"/>
    </row>
    <row r="5" ht="15.75" customHeight="1" spans="2:18">
      <c r="B5" s="21" t="s">
        <v>3</v>
      </c>
      <c r="C5" s="21"/>
      <c r="D5" s="21"/>
      <c r="K5" s="91">
        <f>+K9-49338112.97</f>
        <v>0</v>
      </c>
    </row>
    <row r="7" customHeight="1" spans="2:18">
      <c r="B7" s="22" t="s">
        <v>4</v>
      </c>
      <c r="C7" s="23" t="s">
        <v>5</v>
      </c>
      <c r="D7" s="23" t="s">
        <v>6</v>
      </c>
      <c r="E7" s="24" t="s">
        <v>113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ht="30" customHeight="1" spans="2:18">
      <c r="B8" s="22"/>
      <c r="C8" s="27"/>
      <c r="D8" s="27"/>
      <c r="E8" s="28" t="s">
        <v>114</v>
      </c>
      <c r="F8" s="28" t="s">
        <v>9</v>
      </c>
      <c r="G8" s="28" t="s">
        <v>10</v>
      </c>
      <c r="H8" s="28" t="s">
        <v>11</v>
      </c>
      <c r="I8" s="29" t="s">
        <v>12</v>
      </c>
      <c r="J8" s="28" t="s">
        <v>13</v>
      </c>
      <c r="K8" s="29" t="s">
        <v>115</v>
      </c>
      <c r="L8" s="28" t="s">
        <v>116</v>
      </c>
      <c r="M8" s="28" t="s">
        <v>117</v>
      </c>
      <c r="N8" s="28" t="s">
        <v>118</v>
      </c>
      <c r="O8" s="28" t="s">
        <v>119</v>
      </c>
      <c r="P8" s="29" t="s">
        <v>120</v>
      </c>
      <c r="Q8" s="28" t="s">
        <v>121</v>
      </c>
    </row>
    <row r="9" s="10" customFormat="1" ht="27" customHeight="1" spans="2:18">
      <c r="B9" s="30" t="s">
        <v>15</v>
      </c>
      <c r="C9" s="32">
        <f>+C10+C16+C26+C36+C44+C52+C62+C67+C70</f>
        <v>1024795636</v>
      </c>
      <c r="D9" s="32">
        <f>+D10+D16+D26+D36+D44+D52+D62+D67+D70</f>
        <v>206847051</v>
      </c>
      <c r="E9" s="32">
        <f t="shared" ref="E9:P9" si="0">+E10+E16+E26+E36+E44+E52+E62+E67+E70</f>
        <v>34516386.94</v>
      </c>
      <c r="F9" s="32">
        <f t="shared" si="0"/>
        <v>78356760.78</v>
      </c>
      <c r="G9" s="32">
        <f t="shared" si="0"/>
        <v>50464106.84</v>
      </c>
      <c r="H9" s="32">
        <f t="shared" si="0"/>
        <v>136014282.98</v>
      </c>
      <c r="I9" s="32">
        <f t="shared" si="0"/>
        <v>58612964.84</v>
      </c>
      <c r="J9" s="32">
        <f t="shared" si="0"/>
        <v>52541049.4</v>
      </c>
      <c r="K9" s="32">
        <f t="shared" si="0"/>
        <v>49338112.97</v>
      </c>
      <c r="L9" s="32">
        <f t="shared" si="0"/>
        <v>85330352.84</v>
      </c>
      <c r="M9" s="32">
        <f t="shared" si="0"/>
        <v>115419531.58</v>
      </c>
      <c r="N9" s="32">
        <f t="shared" si="0"/>
        <v>74244474.43</v>
      </c>
      <c r="O9" s="32">
        <f t="shared" si="0"/>
        <v>79277057.03</v>
      </c>
      <c r="P9" s="32">
        <f t="shared" si="0"/>
        <v>0</v>
      </c>
      <c r="Q9" s="32">
        <f>+E9+F9+G9+H9+I9+J9+K9+L9+M9+N9+O9+P9</f>
        <v>814115080.63</v>
      </c>
    </row>
    <row r="10" s="10" customFormat="1" ht="27" customHeight="1" spans="2:18">
      <c r="B10" s="33" t="s">
        <v>16</v>
      </c>
      <c r="C10" s="35">
        <f>SUM(C11:C15)</f>
        <v>493015272</v>
      </c>
      <c r="D10" s="35">
        <f>SUM(D11:D15)</f>
        <v>-9361640</v>
      </c>
      <c r="E10" s="35">
        <f t="shared" ref="E10:N10" si="1">SUM(E11:E15)</f>
        <v>31761117.39</v>
      </c>
      <c r="F10" s="35">
        <f t="shared" si="1"/>
        <v>31693384.16</v>
      </c>
      <c r="G10" s="35">
        <f t="shared" si="1"/>
        <v>32370115.09</v>
      </c>
      <c r="H10" s="35">
        <f t="shared" si="1"/>
        <v>54017968.43</v>
      </c>
      <c r="I10" s="35">
        <f t="shared" si="1"/>
        <v>32579590.52</v>
      </c>
      <c r="J10" s="35">
        <f t="shared" si="1"/>
        <v>32977265.61</v>
      </c>
      <c r="K10" s="35">
        <f t="shared" si="1"/>
        <v>32423570.43</v>
      </c>
      <c r="L10" s="35">
        <f t="shared" si="1"/>
        <v>33013696.74</v>
      </c>
      <c r="M10" s="35">
        <f t="shared" si="1"/>
        <v>35407569.47</v>
      </c>
      <c r="N10" s="35">
        <f t="shared" si="1"/>
        <v>60460805.74</v>
      </c>
      <c r="O10" s="36">
        <f>+O11+O12+O13+O14+O15</f>
        <v>62611117.02</v>
      </c>
      <c r="P10" s="36">
        <f>+P11+P12+P13+P14+P15</f>
        <v>0</v>
      </c>
      <c r="Q10" s="35">
        <f>SUM(Q11:Q15)</f>
        <v>439316200.6</v>
      </c>
    </row>
    <row r="11" s="10" customFormat="1" ht="27" customHeight="1" spans="2:18">
      <c r="B11" s="37" t="s">
        <v>17</v>
      </c>
      <c r="C11" s="40">
        <v>375747353</v>
      </c>
      <c r="D11" s="39">
        <v>-8928822</v>
      </c>
      <c r="E11" s="40">
        <v>26334286.2</v>
      </c>
      <c r="F11" s="40">
        <v>26255586.2</v>
      </c>
      <c r="G11" s="40">
        <v>26901888.1</v>
      </c>
      <c r="H11" s="40">
        <v>26306936.2</v>
      </c>
      <c r="I11" s="40">
        <v>27085805.04</v>
      </c>
      <c r="J11" s="40">
        <v>27430973.93</v>
      </c>
      <c r="K11" s="40">
        <v>26887227.04</v>
      </c>
      <c r="L11" s="40">
        <v>27445516.78</v>
      </c>
      <c r="M11" s="40">
        <v>29558154.81</v>
      </c>
      <c r="N11" s="40">
        <v>28359956.69</v>
      </c>
      <c r="O11" s="39">
        <v>56896415.55</v>
      </c>
      <c r="P11" s="39">
        <v>0</v>
      </c>
      <c r="Q11" s="41">
        <f>+E11+F11+G11+H11+I11+J11+K11+L11+M11+N11+O11+P11</f>
        <v>329462746.54</v>
      </c>
    </row>
    <row r="12" s="10" customFormat="1" ht="27" customHeight="1" spans="2:18">
      <c r="B12" s="37" t="s">
        <v>18</v>
      </c>
      <c r="C12" s="40">
        <v>67781665</v>
      </c>
      <c r="D12" s="39">
        <v>-838818</v>
      </c>
      <c r="E12" s="40">
        <v>1437000</v>
      </c>
      <c r="F12" s="40">
        <v>1460000</v>
      </c>
      <c r="G12" s="40">
        <v>1460000</v>
      </c>
      <c r="H12" s="40">
        <v>23726107.21</v>
      </c>
      <c r="I12" s="40">
        <v>1460000</v>
      </c>
      <c r="J12" s="40">
        <v>1470000</v>
      </c>
      <c r="K12" s="40">
        <v>1470000</v>
      </c>
      <c r="L12" s="40">
        <v>1470000</v>
      </c>
      <c r="M12" s="40">
        <v>1480000</v>
      </c>
      <c r="N12" s="40">
        <v>27874285.05</v>
      </c>
      <c r="O12" s="39">
        <v>1480000</v>
      </c>
      <c r="P12" s="39">
        <v>0</v>
      </c>
      <c r="Q12" s="41">
        <f>+E12+F12+G12+H12+I12+J12+K12+L12+M12+N12+O12+P12</f>
        <v>64787392.26</v>
      </c>
    </row>
    <row r="13" s="10" customFormat="1" ht="27" customHeight="1" spans="2:18">
      <c r="B13" s="37" t="s">
        <v>19</v>
      </c>
      <c r="C13" s="40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>
        <v>0</v>
      </c>
      <c r="O13" s="39"/>
      <c r="P13" s="39"/>
      <c r="Q13" s="41">
        <f>+E13+F13+G13+H13+I13+J13+K13+L13+M13+N13+O13</f>
        <v>0</v>
      </c>
    </row>
    <row r="14" s="10" customFormat="1" ht="27" customHeight="1" spans="2:18">
      <c r="B14" s="37" t="s">
        <v>20</v>
      </c>
      <c r="C14" s="40"/>
      <c r="D14" s="39" t="s">
        <v>122</v>
      </c>
      <c r="E14" s="40"/>
      <c r="F14" s="40"/>
      <c r="G14" s="40"/>
      <c r="H14" s="40"/>
      <c r="I14" s="40"/>
      <c r="J14" s="40"/>
      <c r="K14" s="40"/>
      <c r="L14" s="40"/>
      <c r="M14" s="40"/>
      <c r="N14" s="40">
        <v>0</v>
      </c>
      <c r="O14" s="39"/>
      <c r="P14" s="39"/>
      <c r="Q14" s="41">
        <f>+E14+F14+G14+H14+I14+J14+K14+L14+M14+N14+O14</f>
        <v>0</v>
      </c>
    </row>
    <row r="15" s="10" customFormat="1" ht="27" customHeight="1" spans="2:18">
      <c r="B15" s="37" t="s">
        <v>21</v>
      </c>
      <c r="C15" s="40">
        <v>49486254</v>
      </c>
      <c r="D15" s="39">
        <v>406000</v>
      </c>
      <c r="E15" s="40">
        <v>3989831.19</v>
      </c>
      <c r="F15" s="40">
        <v>3977797.96</v>
      </c>
      <c r="G15" s="40">
        <v>4008226.99</v>
      </c>
      <c r="H15" s="40">
        <v>3984925.02</v>
      </c>
      <c r="I15" s="40">
        <v>4033785.48</v>
      </c>
      <c r="J15" s="40">
        <v>4076291.68</v>
      </c>
      <c r="K15" s="40">
        <v>4066343.39</v>
      </c>
      <c r="L15" s="40">
        <v>4098179.96</v>
      </c>
      <c r="M15" s="40">
        <v>4369414.66</v>
      </c>
      <c r="N15" s="40">
        <v>4226564</v>
      </c>
      <c r="O15" s="39">
        <v>4234701.47</v>
      </c>
      <c r="P15" s="39">
        <v>0</v>
      </c>
      <c r="Q15" s="41">
        <f>+E15+F15+G15+H15+I15+J15+K15+L15+M15+N15+O15+P15</f>
        <v>45066061.8</v>
      </c>
    </row>
    <row r="16" s="10" customFormat="1" ht="27" customHeight="1" spans="2:18">
      <c r="B16" s="33" t="s">
        <v>22</v>
      </c>
      <c r="C16" s="35">
        <f>SUM(C17:C25)</f>
        <v>180335892</v>
      </c>
      <c r="D16" s="35">
        <f>SUM(D17:D25)</f>
        <v>-6012321</v>
      </c>
      <c r="E16" s="35">
        <f t="shared" ref="E16:P16" si="2">SUM(E17:E25)</f>
        <v>2755269.55</v>
      </c>
      <c r="F16" s="35">
        <f t="shared" si="2"/>
        <v>10551527.29</v>
      </c>
      <c r="G16" s="35">
        <f t="shared" si="2"/>
        <v>7600979.48</v>
      </c>
      <c r="H16" s="35">
        <f t="shared" si="2"/>
        <v>13731624.96</v>
      </c>
      <c r="I16" s="35">
        <f t="shared" si="2"/>
        <v>4842043.31</v>
      </c>
      <c r="J16" s="35">
        <f t="shared" si="2"/>
        <v>13468296.15</v>
      </c>
      <c r="K16" s="35">
        <f t="shared" si="2"/>
        <v>7708140.95</v>
      </c>
      <c r="L16" s="35">
        <f t="shared" si="2"/>
        <v>13325600.13</v>
      </c>
      <c r="M16" s="35">
        <f t="shared" si="2"/>
        <v>31586270.82</v>
      </c>
      <c r="N16" s="35">
        <f t="shared" si="2"/>
        <v>9206505.45</v>
      </c>
      <c r="O16" s="35">
        <f t="shared" si="2"/>
        <v>9930253.56</v>
      </c>
      <c r="P16" s="35">
        <f t="shared" si="2"/>
        <v>0</v>
      </c>
      <c r="Q16" s="36">
        <f>+Q17+Q18+Q19+Q20+Q21+Q22+Q23+Q24+Q25</f>
        <v>124706511.65</v>
      </c>
    </row>
    <row r="17" s="10" customFormat="1" ht="27" customHeight="1" spans="2:17">
      <c r="B17" s="37" t="s">
        <v>23</v>
      </c>
      <c r="C17" s="40">
        <v>33780000</v>
      </c>
      <c r="D17" s="39">
        <v>2000</v>
      </c>
      <c r="E17" s="40">
        <v>1991078.74</v>
      </c>
      <c r="F17" s="40">
        <v>2145419.21</v>
      </c>
      <c r="G17" s="40">
        <v>2871016.63</v>
      </c>
      <c r="H17" s="40">
        <v>3307631.68</v>
      </c>
      <c r="I17" s="40">
        <v>2149961.96</v>
      </c>
      <c r="J17" s="40">
        <v>4580946.34</v>
      </c>
      <c r="K17" s="40">
        <v>3489759.29</v>
      </c>
      <c r="L17" s="40">
        <v>3699699.17</v>
      </c>
      <c r="M17" s="40">
        <v>1994881.68</v>
      </c>
      <c r="N17" s="40">
        <v>1612933.46</v>
      </c>
      <c r="O17" s="39">
        <v>2490787.4</v>
      </c>
      <c r="P17" s="39">
        <v>0</v>
      </c>
      <c r="Q17" s="41">
        <f t="shared" ref="Q17:Q83" si="3">+E17+F17+G17+H17+I17+J17+K17+L17+M17+N17+O17+P17</f>
        <v>30334115.56</v>
      </c>
    </row>
    <row r="18" s="10" customFormat="1" ht="27" customHeight="1" spans="2:17">
      <c r="B18" s="37" t="s">
        <v>24</v>
      </c>
      <c r="C18" s="40">
        <v>5800000</v>
      </c>
      <c r="D18" s="39">
        <v>1760000</v>
      </c>
      <c r="E18" s="40">
        <v>0</v>
      </c>
      <c r="F18" s="40">
        <v>488754.68</v>
      </c>
      <c r="G18" s="40">
        <v>766194.3</v>
      </c>
      <c r="H18" s="40">
        <v>99200</v>
      </c>
      <c r="I18" s="40">
        <v>262372.5</v>
      </c>
      <c r="J18" s="40">
        <v>23600</v>
      </c>
      <c r="K18" s="40">
        <v>512365.2</v>
      </c>
      <c r="L18" s="40">
        <v>1376841.21</v>
      </c>
      <c r="M18" s="40">
        <v>259109.36</v>
      </c>
      <c r="N18" s="40">
        <v>67054.68</v>
      </c>
      <c r="O18" s="39">
        <v>953113.11</v>
      </c>
      <c r="P18" s="39">
        <v>0</v>
      </c>
      <c r="Q18" s="41">
        <f t="shared" si="3"/>
        <v>4808605.04</v>
      </c>
    </row>
    <row r="19" s="10" customFormat="1" ht="27" customHeight="1" spans="2:17">
      <c r="B19" s="37" t="s">
        <v>25</v>
      </c>
      <c r="C19" s="40">
        <v>31000000</v>
      </c>
      <c r="D19" s="39">
        <v>-23508921</v>
      </c>
      <c r="E19" s="40">
        <v>0</v>
      </c>
      <c r="F19" s="40">
        <v>273230</v>
      </c>
      <c r="G19" s="40">
        <v>142192</v>
      </c>
      <c r="H19" s="40">
        <v>954600</v>
      </c>
      <c r="I19" s="40">
        <v>573960</v>
      </c>
      <c r="J19" s="40">
        <v>110900</v>
      </c>
      <c r="K19" s="40">
        <v>436762.5</v>
      </c>
      <c r="L19" s="40">
        <v>1305200</v>
      </c>
      <c r="M19" s="40">
        <v>113500</v>
      </c>
      <c r="N19" s="40">
        <v>670563.72</v>
      </c>
      <c r="O19" s="39">
        <v>581800</v>
      </c>
      <c r="P19" s="39"/>
      <c r="Q19" s="41">
        <f t="shared" si="3"/>
        <v>5162708.22</v>
      </c>
    </row>
    <row r="20" s="10" customFormat="1" ht="27" customHeight="1" spans="2:17">
      <c r="B20" s="37" t="s">
        <v>26</v>
      </c>
      <c r="C20" s="40">
        <v>2600000</v>
      </c>
      <c r="D20" s="39">
        <v>-1570200</v>
      </c>
      <c r="E20" s="40">
        <v>0</v>
      </c>
      <c r="F20" s="40">
        <v>28000</v>
      </c>
      <c r="G20" s="40">
        <v>0</v>
      </c>
      <c r="H20" s="40"/>
      <c r="I20" s="40">
        <v>1840</v>
      </c>
      <c r="J20" s="40"/>
      <c r="K20" s="40">
        <v>161706</v>
      </c>
      <c r="L20" s="40">
        <v>9520</v>
      </c>
      <c r="M20" s="40"/>
      <c r="N20" s="40">
        <v>96672.9</v>
      </c>
      <c r="O20" s="39">
        <v>102930</v>
      </c>
      <c r="P20" s="39"/>
      <c r="Q20" s="41">
        <f t="shared" si="3"/>
        <v>400668.9</v>
      </c>
    </row>
    <row r="21" s="10" customFormat="1" ht="27" customHeight="1" spans="2:17">
      <c r="B21" s="37" t="s">
        <v>27</v>
      </c>
      <c r="C21" s="40">
        <v>13025891</v>
      </c>
      <c r="D21" s="39">
        <v>5576000</v>
      </c>
      <c r="E21" s="40">
        <v>565259.18</v>
      </c>
      <c r="F21" s="40">
        <v>1578144.83</v>
      </c>
      <c r="G21" s="40">
        <v>483435.89</v>
      </c>
      <c r="H21" s="40">
        <v>2592326.53</v>
      </c>
      <c r="I21" s="40">
        <v>21956.48</v>
      </c>
      <c r="J21" s="40">
        <v>480000</v>
      </c>
      <c r="K21" s="40"/>
      <c r="L21" s="40">
        <v>444980</v>
      </c>
      <c r="M21" s="40">
        <v>800196.48</v>
      </c>
      <c r="N21" s="40">
        <v>456024.56</v>
      </c>
      <c r="O21" s="39">
        <v>376024.56</v>
      </c>
      <c r="P21" s="39"/>
      <c r="Q21" s="41">
        <f t="shared" si="3"/>
        <v>7798348.51</v>
      </c>
    </row>
    <row r="22" s="10" customFormat="1" ht="27" customHeight="1" spans="2:17">
      <c r="B22" s="37" t="s">
        <v>28</v>
      </c>
      <c r="C22" s="40">
        <v>12600000</v>
      </c>
      <c r="D22" s="39">
        <v>136070</v>
      </c>
      <c r="E22" s="40"/>
      <c r="F22" s="40">
        <v>1369799.12</v>
      </c>
      <c r="G22" s="40">
        <v>746770.61</v>
      </c>
      <c r="H22" s="40">
        <v>753330.02</v>
      </c>
      <c r="I22" s="40">
        <v>1306359.42</v>
      </c>
      <c r="J22" s="40">
        <v>803067.84</v>
      </c>
      <c r="K22" s="40">
        <v>802993.47</v>
      </c>
      <c r="L22" s="40">
        <v>1089747.54</v>
      </c>
      <c r="M22" s="40">
        <v>2984381.41</v>
      </c>
      <c r="N22" s="40">
        <v>883247.7</v>
      </c>
      <c r="O22" s="39">
        <v>1216025.02</v>
      </c>
      <c r="P22" s="39"/>
      <c r="Q22" s="41">
        <f t="shared" si="3"/>
        <v>11955722.15</v>
      </c>
    </row>
    <row r="23" s="10" customFormat="1" ht="45.75" customHeight="1" spans="2:17">
      <c r="B23" s="42" t="s">
        <v>29</v>
      </c>
      <c r="C23" s="40">
        <v>29590000</v>
      </c>
      <c r="D23" s="39">
        <v>-9270000</v>
      </c>
      <c r="E23" s="40">
        <v>0</v>
      </c>
      <c r="F23" s="40">
        <v>843209.61</v>
      </c>
      <c r="G23" s="40">
        <v>239337.94</v>
      </c>
      <c r="H23" s="40">
        <v>1710896.28</v>
      </c>
      <c r="I23" s="40">
        <v>124127.36</v>
      </c>
      <c r="J23" s="40">
        <v>170605.67</v>
      </c>
      <c r="K23" s="40">
        <v>473491.49</v>
      </c>
      <c r="L23" s="40">
        <v>158607.77</v>
      </c>
      <c r="M23" s="40">
        <v>98063.74</v>
      </c>
      <c r="N23" s="40">
        <v>1525177.57</v>
      </c>
      <c r="O23" s="39">
        <v>3056960.14</v>
      </c>
      <c r="P23" s="39"/>
      <c r="Q23" s="41">
        <f t="shared" si="3"/>
        <v>8400477.57</v>
      </c>
    </row>
    <row r="24" s="10" customFormat="1" ht="43.5" customHeight="1" spans="2:17">
      <c r="B24" s="42" t="s">
        <v>30</v>
      </c>
      <c r="C24" s="40">
        <v>30340000</v>
      </c>
      <c r="D24" s="39">
        <v>3562730</v>
      </c>
      <c r="E24" s="40">
        <v>198931.63</v>
      </c>
      <c r="F24" s="40">
        <v>1382086.64</v>
      </c>
      <c r="G24" s="40">
        <v>418720.11</v>
      </c>
      <c r="H24" s="40">
        <v>484953.45</v>
      </c>
      <c r="I24" s="40">
        <v>401465.59</v>
      </c>
      <c r="J24" s="40">
        <v>554550</v>
      </c>
      <c r="K24" s="40">
        <v>255940</v>
      </c>
      <c r="L24" s="40">
        <v>126152.84</v>
      </c>
      <c r="M24" s="40">
        <v>23228369.05</v>
      </c>
      <c r="N24" s="40">
        <v>835509.76</v>
      </c>
      <c r="O24" s="39">
        <v>274062.43</v>
      </c>
      <c r="P24" s="39"/>
      <c r="Q24" s="41">
        <f t="shared" si="3"/>
        <v>28160741.5</v>
      </c>
    </row>
    <row r="25" s="10" customFormat="1" ht="27" customHeight="1" spans="2:17">
      <c r="B25" s="37" t="s">
        <v>31</v>
      </c>
      <c r="C25" s="40">
        <v>21600001</v>
      </c>
      <c r="D25" s="39">
        <v>17300000</v>
      </c>
      <c r="E25" s="40"/>
      <c r="F25" s="40">
        <v>2442883.2</v>
      </c>
      <c r="G25" s="40">
        <v>1933312</v>
      </c>
      <c r="H25" s="40">
        <v>3828687</v>
      </c>
      <c r="I25" s="40">
        <v>0</v>
      </c>
      <c r="J25" s="40">
        <v>6744626.3</v>
      </c>
      <c r="K25" s="40">
        <v>1575123</v>
      </c>
      <c r="L25" s="40">
        <v>5114851.6</v>
      </c>
      <c r="M25" s="40">
        <v>2107769.1</v>
      </c>
      <c r="N25" s="40">
        <v>3059321.1</v>
      </c>
      <c r="O25" s="39">
        <v>878550.9</v>
      </c>
      <c r="P25" s="39"/>
      <c r="Q25" s="41">
        <f t="shared" si="3"/>
        <v>27685124.2</v>
      </c>
    </row>
    <row r="26" s="10" customFormat="1" ht="27" customHeight="1" spans="2:17">
      <c r="B26" s="33" t="s">
        <v>32</v>
      </c>
      <c r="C26" s="35">
        <f>SUM(C27:C35)</f>
        <v>309474472</v>
      </c>
      <c r="D26" s="35">
        <f>SUM(D27:D35)</f>
        <v>167359500</v>
      </c>
      <c r="E26" s="35">
        <f t="shared" ref="E26:P26" si="4">SUM(E27:E35)</f>
        <v>0</v>
      </c>
      <c r="F26" s="35">
        <f t="shared" si="4"/>
        <v>34303911.8</v>
      </c>
      <c r="G26" s="35">
        <f t="shared" si="4"/>
        <v>5893318.05</v>
      </c>
      <c r="H26" s="35">
        <f t="shared" si="4"/>
        <v>67261489.53</v>
      </c>
      <c r="I26" s="35">
        <f t="shared" si="4"/>
        <v>10636972.05</v>
      </c>
      <c r="J26" s="35">
        <f t="shared" si="4"/>
        <v>3597286.85</v>
      </c>
      <c r="K26" s="35">
        <f t="shared" si="4"/>
        <v>2781055.8</v>
      </c>
      <c r="L26" s="35">
        <f t="shared" si="4"/>
        <v>28715910.57</v>
      </c>
      <c r="M26" s="35">
        <f t="shared" si="4"/>
        <v>45634991.29</v>
      </c>
      <c r="N26" s="35">
        <f t="shared" si="4"/>
        <v>1516798.44</v>
      </c>
      <c r="O26" s="35">
        <f t="shared" si="4"/>
        <v>4413219.33</v>
      </c>
      <c r="P26" s="35">
        <f t="shared" si="4"/>
        <v>0</v>
      </c>
      <c r="Q26" s="36">
        <f>+Q27+Q28+Q29+Q30+Q31+Q33+Q32+Q34+Q35+Q36+Q37</f>
        <v>204754953.71</v>
      </c>
    </row>
    <row r="27" s="10" customFormat="1" ht="27" customHeight="1" spans="2:17">
      <c r="B27" s="37" t="s">
        <v>33</v>
      </c>
      <c r="C27" s="40">
        <v>7700000</v>
      </c>
      <c r="D27" s="39">
        <v>-3078800</v>
      </c>
      <c r="E27" s="40">
        <v>0</v>
      </c>
      <c r="F27" s="40">
        <v>33830</v>
      </c>
      <c r="G27" s="40">
        <v>0</v>
      </c>
      <c r="H27" s="40"/>
      <c r="I27" s="40">
        <v>225648.92</v>
      </c>
      <c r="J27" s="40">
        <v>746690</v>
      </c>
      <c r="K27" s="40">
        <v>380688</v>
      </c>
      <c r="L27" s="40">
        <v>154751.96</v>
      </c>
      <c r="M27" s="40">
        <v>163219</v>
      </c>
      <c r="N27" s="40">
        <v>1085971</v>
      </c>
      <c r="O27" s="40">
        <v>276796.01</v>
      </c>
      <c r="P27" s="39"/>
      <c r="Q27" s="41">
        <f t="shared" si="3"/>
        <v>3067594.89</v>
      </c>
    </row>
    <row r="28" s="10" customFormat="1" ht="27" customHeight="1" spans="2:17">
      <c r="B28" s="37" t="s">
        <v>34</v>
      </c>
      <c r="C28" s="40">
        <v>10700000</v>
      </c>
      <c r="D28" s="39">
        <v>-4753300</v>
      </c>
      <c r="E28" s="40">
        <v>0</v>
      </c>
      <c r="F28" s="40">
        <v>156940</v>
      </c>
      <c r="G28" s="40">
        <v>76700</v>
      </c>
      <c r="H28" s="40">
        <v>63720</v>
      </c>
      <c r="I28" s="40">
        <v>1705.1</v>
      </c>
      <c r="J28" s="40">
        <v>0</v>
      </c>
      <c r="K28" s="40">
        <v>0</v>
      </c>
      <c r="L28" s="40">
        <v>9118</v>
      </c>
      <c r="M28" s="40">
        <v>0</v>
      </c>
      <c r="N28" s="40">
        <v>0</v>
      </c>
      <c r="O28" s="40">
        <v>1075.5</v>
      </c>
      <c r="P28" s="39"/>
      <c r="Q28" s="41">
        <f t="shared" si="3"/>
        <v>309258.6</v>
      </c>
    </row>
    <row r="29" s="10" customFormat="1" ht="27" customHeight="1" spans="2:17">
      <c r="B29" s="37" t="s">
        <v>35</v>
      </c>
      <c r="C29" s="40">
        <v>228422500</v>
      </c>
      <c r="D29" s="39">
        <v>187940100</v>
      </c>
      <c r="E29" s="40">
        <v>0</v>
      </c>
      <c r="F29" s="40">
        <v>33400000</v>
      </c>
      <c r="G29" s="40">
        <v>0</v>
      </c>
      <c r="H29" s="40">
        <v>66785036.8</v>
      </c>
      <c r="I29" s="40">
        <v>631642.08</v>
      </c>
      <c r="J29" s="40">
        <v>0</v>
      </c>
      <c r="K29" s="40">
        <v>256791.6</v>
      </c>
      <c r="L29" s="105">
        <v>22877760.67</v>
      </c>
      <c r="M29" s="40">
        <v>44198460.15</v>
      </c>
      <c r="N29" s="40">
        <v>25641.4</v>
      </c>
      <c r="O29" s="40">
        <v>3182307.27</v>
      </c>
      <c r="P29" s="39"/>
      <c r="Q29" s="41">
        <f t="shared" si="3"/>
        <v>171357639.97</v>
      </c>
    </row>
    <row r="30" s="10" customFormat="1" ht="27" customHeight="1" spans="2:17">
      <c r="B30" s="37" t="s">
        <v>36</v>
      </c>
      <c r="C30" s="40">
        <v>3499999</v>
      </c>
      <c r="D30" s="39">
        <v>-2200000</v>
      </c>
      <c r="E30" s="40">
        <v>0</v>
      </c>
      <c r="F30" s="40"/>
      <c r="G30" s="40">
        <v>0</v>
      </c>
      <c r="H30" s="40"/>
      <c r="I30" s="40"/>
      <c r="J30" s="40">
        <v>0</v>
      </c>
      <c r="K30" s="40">
        <v>0</v>
      </c>
      <c r="L30" s="40">
        <v>0</v>
      </c>
      <c r="M30" s="40"/>
      <c r="N30" s="40">
        <v>0</v>
      </c>
      <c r="O30" s="40">
        <v>0</v>
      </c>
      <c r="P30" s="39"/>
      <c r="Q30" s="41">
        <f t="shared" si="3"/>
        <v>0</v>
      </c>
    </row>
    <row r="31" s="10" customFormat="1" ht="27" customHeight="1" spans="2:17">
      <c r="B31" s="37" t="s">
        <v>37</v>
      </c>
      <c r="C31" s="40">
        <v>3010000</v>
      </c>
      <c r="D31" s="39">
        <v>-700000</v>
      </c>
      <c r="E31" s="40">
        <v>0</v>
      </c>
      <c r="F31" s="40">
        <v>15750</v>
      </c>
      <c r="G31" s="40">
        <v>0</v>
      </c>
      <c r="H31" s="40">
        <v>39243.26</v>
      </c>
      <c r="I31" s="40">
        <v>103636.69</v>
      </c>
      <c r="J31" s="40">
        <v>587162.15</v>
      </c>
      <c r="K31" s="40">
        <v>40415</v>
      </c>
      <c r="L31" s="40">
        <v>950.17</v>
      </c>
      <c r="M31" s="40">
        <v>147500</v>
      </c>
      <c r="N31" s="40">
        <v>21240</v>
      </c>
      <c r="O31" s="40">
        <v>3530.5</v>
      </c>
      <c r="P31" s="39"/>
      <c r="Q31" s="41">
        <f t="shared" si="3"/>
        <v>959427.77</v>
      </c>
    </row>
    <row r="32" s="10" customFormat="1" ht="42" customHeight="1" spans="2:17">
      <c r="B32" s="37" t="s">
        <v>38</v>
      </c>
      <c r="C32" s="40">
        <v>290000</v>
      </c>
      <c r="D32" s="39">
        <v>470000</v>
      </c>
      <c r="E32" s="40">
        <v>0</v>
      </c>
      <c r="F32" s="40"/>
      <c r="G32" s="40">
        <v>0</v>
      </c>
      <c r="H32" s="40">
        <v>5310</v>
      </c>
      <c r="I32" s="40">
        <v>442507.89</v>
      </c>
      <c r="J32" s="40"/>
      <c r="K32" s="40">
        <v>0</v>
      </c>
      <c r="L32" s="40">
        <v>36068.6</v>
      </c>
      <c r="M32" s="40"/>
      <c r="N32" s="40"/>
      <c r="O32" s="40">
        <v>47395.37</v>
      </c>
      <c r="P32" s="39"/>
      <c r="Q32" s="41">
        <f t="shared" si="3"/>
        <v>531281.86</v>
      </c>
    </row>
    <row r="33" s="10" customFormat="1" ht="39" customHeight="1" spans="2:17">
      <c r="B33" s="42" t="s">
        <v>39</v>
      </c>
      <c r="C33" s="40">
        <v>15595000</v>
      </c>
      <c r="D33" s="39">
        <v>-2580000</v>
      </c>
      <c r="E33" s="40">
        <v>0</v>
      </c>
      <c r="F33" s="40"/>
      <c r="G33" s="40">
        <v>5760000</v>
      </c>
      <c r="H33" s="40">
        <v>54943.75</v>
      </c>
      <c r="I33" s="40">
        <v>444407.04</v>
      </c>
      <c r="J33" s="40">
        <v>35990</v>
      </c>
      <c r="K33" s="40">
        <v>11210</v>
      </c>
      <c r="L33" s="40">
        <v>4655506.9</v>
      </c>
      <c r="M33" s="40">
        <v>109911.2</v>
      </c>
      <c r="N33" s="40">
        <v>12832.5</v>
      </c>
      <c r="O33" s="40">
        <v>2810.05</v>
      </c>
      <c r="P33" s="39"/>
      <c r="Q33" s="41">
        <f t="shared" si="3"/>
        <v>11087611.44</v>
      </c>
    </row>
    <row r="34" s="10" customFormat="1" ht="39.75" customHeight="1" spans="2:17">
      <c r="B34" s="42" t="s">
        <v>40</v>
      </c>
      <c r="C34" s="40"/>
      <c r="D34" s="39"/>
      <c r="E34" s="40"/>
      <c r="F34" s="40"/>
      <c r="G34" s="40"/>
      <c r="H34" s="40"/>
      <c r="I34" s="40">
        <v>0</v>
      </c>
      <c r="J34" s="40"/>
      <c r="K34" s="40">
        <v>0</v>
      </c>
      <c r="L34" s="40">
        <v>0</v>
      </c>
      <c r="M34" s="40"/>
      <c r="N34" s="40">
        <v>0</v>
      </c>
      <c r="O34" s="40"/>
      <c r="P34" s="39"/>
      <c r="Q34" s="41">
        <f t="shared" si="3"/>
        <v>0</v>
      </c>
    </row>
    <row r="35" s="10" customFormat="1" ht="27" customHeight="1" spans="2:17">
      <c r="B35" s="37" t="s">
        <v>41</v>
      </c>
      <c r="C35" s="40">
        <v>40256973</v>
      </c>
      <c r="D35" s="39">
        <v>-7738500</v>
      </c>
      <c r="E35" s="40">
        <v>0</v>
      </c>
      <c r="F35" s="40">
        <v>697391.8</v>
      </c>
      <c r="G35" s="40">
        <v>56618.05</v>
      </c>
      <c r="H35" s="40">
        <v>313235.72</v>
      </c>
      <c r="I35" s="40">
        <v>8787424.33</v>
      </c>
      <c r="J35" s="40">
        <v>2227444.7</v>
      </c>
      <c r="K35" s="40">
        <v>2091951.2</v>
      </c>
      <c r="L35" s="40">
        <v>981754.27</v>
      </c>
      <c r="M35" s="40">
        <v>1015900.94</v>
      </c>
      <c r="N35" s="40">
        <v>371113.54</v>
      </c>
      <c r="O35" s="40">
        <v>899304.63</v>
      </c>
      <c r="P35" s="39"/>
      <c r="Q35" s="41">
        <f t="shared" si="3"/>
        <v>17442139.18</v>
      </c>
    </row>
    <row r="36" s="10" customFormat="1" ht="27" customHeight="1" spans="2:17">
      <c r="B36" s="33" t="s">
        <v>42</v>
      </c>
      <c r="C36" s="35">
        <f>SUM(C37:C42)</f>
        <v>3000000</v>
      </c>
      <c r="D36" s="35">
        <f>SUM(D37:D42)</f>
        <v>-3000000</v>
      </c>
      <c r="E36" s="35">
        <f t="shared" ref="E36:M36" si="5">SUM(E37:E42)</f>
        <v>0</v>
      </c>
      <c r="F36" s="35"/>
      <c r="G36" s="35">
        <f t="shared" si="5"/>
        <v>0</v>
      </c>
      <c r="H36" s="35"/>
      <c r="I36" s="35">
        <f t="shared" si="5"/>
        <v>0</v>
      </c>
      <c r="J36" s="35">
        <f t="shared" si="5"/>
        <v>0</v>
      </c>
      <c r="K36" s="35"/>
      <c r="L36" s="35">
        <f t="shared" si="5"/>
        <v>0</v>
      </c>
      <c r="M36" s="35">
        <f t="shared" si="5"/>
        <v>0</v>
      </c>
      <c r="N36" s="40">
        <v>0</v>
      </c>
      <c r="O36" s="40">
        <v>0</v>
      </c>
      <c r="P36" s="40">
        <v>0</v>
      </c>
      <c r="Q36" s="41">
        <f t="shared" si="3"/>
        <v>0</v>
      </c>
    </row>
    <row r="37" s="10" customFormat="1" ht="27" customHeight="1" spans="2:17">
      <c r="B37" s="37" t="s">
        <v>43</v>
      </c>
      <c r="C37" s="40">
        <v>3000000</v>
      </c>
      <c r="D37" s="39">
        <v>-3000000</v>
      </c>
      <c r="E37" s="40">
        <v>0</v>
      </c>
      <c r="F37" s="40"/>
      <c r="G37" s="40"/>
      <c r="H37" s="40"/>
      <c r="I37" s="40"/>
      <c r="J37" s="40"/>
      <c r="K37" s="40"/>
      <c r="L37" s="40"/>
      <c r="M37" s="40">
        <v>0</v>
      </c>
      <c r="N37" s="40">
        <v>0</v>
      </c>
      <c r="O37" s="40">
        <v>0</v>
      </c>
      <c r="P37" s="39"/>
      <c r="Q37" s="41">
        <f t="shared" si="3"/>
        <v>0</v>
      </c>
    </row>
    <row r="38" s="10" customFormat="1" ht="38.25" customHeight="1" spans="2:17">
      <c r="B38" s="42" t="s">
        <v>44</v>
      </c>
      <c r="C38" s="40"/>
      <c r="D38" s="39"/>
      <c r="E38" s="40">
        <v>0</v>
      </c>
      <c r="F38" s="40"/>
      <c r="G38" s="40">
        <v>0</v>
      </c>
      <c r="H38" s="40"/>
      <c r="I38" s="40"/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39"/>
      <c r="Q38" s="41">
        <f t="shared" si="3"/>
        <v>0</v>
      </c>
    </row>
    <row r="39" s="10" customFormat="1" ht="42" customHeight="1" spans="2:17">
      <c r="B39" s="42" t="s">
        <v>45</v>
      </c>
      <c r="C39" s="40"/>
      <c r="D39" s="39"/>
      <c r="E39" s="40"/>
      <c r="F39" s="40"/>
      <c r="G39" s="40"/>
      <c r="H39" s="40"/>
      <c r="I39" s="40"/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39"/>
      <c r="Q39" s="41">
        <f t="shared" si="3"/>
        <v>0</v>
      </c>
    </row>
    <row r="40" s="10" customFormat="1" ht="42" customHeight="1" spans="2:17">
      <c r="B40" s="42" t="s">
        <v>46</v>
      </c>
      <c r="C40" s="40"/>
      <c r="D40" s="39"/>
      <c r="E40" s="40"/>
      <c r="F40" s="40"/>
      <c r="G40" s="40"/>
      <c r="H40" s="40"/>
      <c r="I40" s="40"/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39"/>
      <c r="Q40" s="41">
        <f t="shared" si="3"/>
        <v>0</v>
      </c>
    </row>
    <row r="41" s="10" customFormat="1" ht="39.75" customHeight="1" spans="2:17">
      <c r="B41" s="42" t="s">
        <v>47</v>
      </c>
      <c r="C41" s="40"/>
      <c r="D41" s="39"/>
      <c r="E41" s="40"/>
      <c r="F41" s="40"/>
      <c r="G41" s="40"/>
      <c r="H41" s="40"/>
      <c r="I41" s="40"/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39"/>
      <c r="Q41" s="41">
        <f t="shared" si="3"/>
        <v>0</v>
      </c>
    </row>
    <row r="42" s="10" customFormat="1" ht="27" customHeight="1" spans="2:17">
      <c r="B42" s="42" t="s">
        <v>48</v>
      </c>
      <c r="C42" s="40"/>
      <c r="D42" s="39"/>
      <c r="E42" s="40"/>
      <c r="F42" s="40"/>
      <c r="G42" s="40"/>
      <c r="H42" s="40"/>
      <c r="I42" s="40"/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39"/>
      <c r="Q42" s="41">
        <f t="shared" si="3"/>
        <v>0</v>
      </c>
    </row>
    <row r="43" s="10" customFormat="1" ht="27" customHeight="1" spans="2:17">
      <c r="B43" s="37" t="s">
        <v>49</v>
      </c>
      <c r="C43" s="40"/>
      <c r="D43" s="39"/>
      <c r="E43" s="40"/>
      <c r="F43" s="40"/>
      <c r="G43" s="40"/>
      <c r="H43" s="40"/>
      <c r="I43" s="40"/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39"/>
      <c r="Q43" s="41">
        <f t="shared" si="3"/>
        <v>0</v>
      </c>
    </row>
    <row r="44" s="10" customFormat="1" ht="36.75" customHeight="1" spans="2:17">
      <c r="B44" s="42" t="s">
        <v>50</v>
      </c>
      <c r="C44" s="35">
        <f>SUM(C45:C51)</f>
        <v>0</v>
      </c>
      <c r="D44" s="39"/>
      <c r="E44" s="35">
        <f>SUM(E45:E51)</f>
        <v>0</v>
      </c>
      <c r="F44" s="35">
        <f>SUM(F45:F51)</f>
        <v>0</v>
      </c>
      <c r="G44" s="35">
        <f>SUM(G45:G51)</f>
        <v>0</v>
      </c>
      <c r="H44" s="35"/>
      <c r="I44" s="35"/>
      <c r="J44" s="35">
        <v>0</v>
      </c>
      <c r="K44" s="35">
        <v>0</v>
      </c>
      <c r="L44" s="35">
        <v>0</v>
      </c>
      <c r="M44" s="35">
        <v>0</v>
      </c>
      <c r="N44" s="40">
        <v>0</v>
      </c>
      <c r="O44" s="40">
        <v>0</v>
      </c>
      <c r="P44" s="39"/>
      <c r="Q44" s="41">
        <f t="shared" si="3"/>
        <v>0</v>
      </c>
    </row>
    <row r="45" s="10" customFormat="1" ht="27" customHeight="1" spans="2:17">
      <c r="B45" s="33" t="s">
        <v>51</v>
      </c>
      <c r="C45" s="40"/>
      <c r="D45" s="44"/>
      <c r="E45" s="40"/>
      <c r="F45" s="40"/>
      <c r="G45" s="40"/>
      <c r="H45" s="40"/>
      <c r="I45" s="40"/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39"/>
      <c r="Q45" s="41">
        <f t="shared" si="3"/>
        <v>0</v>
      </c>
    </row>
    <row r="46" s="10" customFormat="1" ht="36" customHeight="1" spans="2:17">
      <c r="B46" s="37" t="s">
        <v>123</v>
      </c>
      <c r="C46" s="40"/>
      <c r="D46" s="39"/>
      <c r="E46" s="40"/>
      <c r="F46" s="40"/>
      <c r="G46" s="40"/>
      <c r="H46" s="40"/>
      <c r="I46" s="40"/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39"/>
      <c r="Q46" s="41">
        <f t="shared" si="3"/>
        <v>0</v>
      </c>
    </row>
    <row r="47" s="10" customFormat="1" ht="49.5" customHeight="1" spans="2:17">
      <c r="B47" s="42" t="s">
        <v>52</v>
      </c>
      <c r="C47" s="40"/>
      <c r="D47" s="39"/>
      <c r="E47" s="40"/>
      <c r="F47" s="40"/>
      <c r="G47" s="40"/>
      <c r="H47" s="40"/>
      <c r="I47" s="40"/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39"/>
      <c r="Q47" s="41">
        <f t="shared" si="3"/>
        <v>0</v>
      </c>
    </row>
    <row r="48" s="10" customFormat="1" ht="42" customHeight="1" spans="2:17">
      <c r="B48" s="42" t="s">
        <v>53</v>
      </c>
      <c r="C48" s="4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>
        <v>0</v>
      </c>
      <c r="O48" s="40">
        <v>0</v>
      </c>
      <c r="P48" s="39"/>
      <c r="Q48" s="41">
        <f t="shared" si="3"/>
        <v>0</v>
      </c>
    </row>
    <row r="49" s="10" customFormat="1" ht="36.75" customHeight="1" spans="2:17">
      <c r="B49" s="42" t="s">
        <v>54</v>
      </c>
      <c r="C49" s="4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>
        <v>0</v>
      </c>
      <c r="O49" s="40"/>
      <c r="P49" s="39"/>
      <c r="Q49" s="41">
        <f t="shared" si="3"/>
        <v>0</v>
      </c>
    </row>
    <row r="50" s="10" customFormat="1" ht="27" customHeight="1" spans="2:17">
      <c r="B50" s="37" t="s">
        <v>55</v>
      </c>
      <c r="C50" s="4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>
        <v>0</v>
      </c>
      <c r="O50" s="40"/>
      <c r="P50" s="39"/>
      <c r="Q50" s="41">
        <f t="shared" si="3"/>
        <v>0</v>
      </c>
    </row>
    <row r="51" s="10" customFormat="1" ht="36.75" customHeight="1" spans="2:17">
      <c r="B51" s="42" t="s">
        <v>56</v>
      </c>
      <c r="C51" s="4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>
        <v>0</v>
      </c>
      <c r="O51" s="40"/>
      <c r="P51" s="39"/>
      <c r="Q51" s="41">
        <f t="shared" si="3"/>
        <v>0</v>
      </c>
    </row>
    <row r="52" s="10" customFormat="1" ht="27" customHeight="1" spans="2:17">
      <c r="B52" s="33" t="s">
        <v>57</v>
      </c>
      <c r="C52" s="35">
        <f>SUM(C53:C61)</f>
        <v>35070000</v>
      </c>
      <c r="D52" s="35">
        <f>SUM(D53:D61)</f>
        <v>39561512</v>
      </c>
      <c r="E52" s="35">
        <f t="shared" ref="E52:P52" si="6">SUM(E53:E61)</f>
        <v>0</v>
      </c>
      <c r="F52" s="35">
        <f t="shared" si="6"/>
        <v>1807937.53</v>
      </c>
      <c r="G52" s="35">
        <f t="shared" si="6"/>
        <v>4599694.22</v>
      </c>
      <c r="H52" s="35">
        <f t="shared" si="6"/>
        <v>1003200.06</v>
      </c>
      <c r="I52" s="35">
        <f t="shared" si="6"/>
        <v>10554358.96</v>
      </c>
      <c r="J52" s="35">
        <f t="shared" si="6"/>
        <v>2498200.79</v>
      </c>
      <c r="K52" s="35">
        <f t="shared" si="6"/>
        <v>6425345.79</v>
      </c>
      <c r="L52" s="35">
        <f t="shared" si="6"/>
        <v>10275145.4</v>
      </c>
      <c r="M52" s="35">
        <f t="shared" si="6"/>
        <v>2790700</v>
      </c>
      <c r="N52" s="35">
        <f t="shared" si="6"/>
        <v>2106216.45</v>
      </c>
      <c r="O52" s="35">
        <f t="shared" si="6"/>
        <v>2276615.29</v>
      </c>
      <c r="P52" s="35">
        <f t="shared" si="6"/>
        <v>0</v>
      </c>
      <c r="Q52" s="36">
        <f>+Q53+Q54+Q55+Q56+Q57+Q58+Q59+Q60+Q61</f>
        <v>44337414.49</v>
      </c>
    </row>
    <row r="53" s="10" customFormat="1" ht="27" customHeight="1" spans="2:17">
      <c r="B53" s="37" t="s">
        <v>58</v>
      </c>
      <c r="C53" s="40">
        <v>9300000</v>
      </c>
      <c r="D53" s="39">
        <v>34840000</v>
      </c>
      <c r="E53" s="40">
        <v>0</v>
      </c>
      <c r="F53" s="40">
        <v>1746558.53</v>
      </c>
      <c r="G53" s="40">
        <v>218182</v>
      </c>
      <c r="H53" s="40">
        <v>1003200.06</v>
      </c>
      <c r="I53" s="40">
        <v>9852008.8</v>
      </c>
      <c r="J53" s="40">
        <v>1253651.25</v>
      </c>
      <c r="K53" s="40">
        <v>5510845.79</v>
      </c>
      <c r="L53" s="40">
        <v>4464631.4</v>
      </c>
      <c r="M53" s="40">
        <v>844880</v>
      </c>
      <c r="N53" s="40">
        <v>213735.76</v>
      </c>
      <c r="O53" s="40">
        <v>733798.64</v>
      </c>
      <c r="P53" s="39"/>
      <c r="Q53" s="41">
        <f t="shared" si="3"/>
        <v>25841492.23</v>
      </c>
    </row>
    <row r="54" s="10" customFormat="1" ht="42" customHeight="1" spans="2:17">
      <c r="B54" s="42" t="s">
        <v>59</v>
      </c>
      <c r="C54" s="40">
        <v>1000000</v>
      </c>
      <c r="D54" s="39">
        <v>225000</v>
      </c>
      <c r="E54" s="40">
        <v>0</v>
      </c>
      <c r="F54" s="40">
        <v>61379</v>
      </c>
      <c r="G54" s="40">
        <v>0</v>
      </c>
      <c r="H54" s="40"/>
      <c r="I54" s="40"/>
      <c r="J54" s="40"/>
      <c r="K54" s="40">
        <v>914500</v>
      </c>
      <c r="L54" s="40">
        <v>0</v>
      </c>
      <c r="M54" s="40"/>
      <c r="N54" s="40">
        <v>187209.36</v>
      </c>
      <c r="O54" s="40">
        <v>15820</v>
      </c>
      <c r="P54" s="39"/>
      <c r="Q54" s="41">
        <f t="shared" si="3"/>
        <v>1178908.36</v>
      </c>
    </row>
    <row r="55" s="10" customFormat="1" ht="27" customHeight="1" spans="2:17">
      <c r="B55" s="37" t="s">
        <v>60</v>
      </c>
      <c r="C55" s="40">
        <v>550000</v>
      </c>
      <c r="D55" s="39">
        <v>1675000</v>
      </c>
      <c r="E55" s="40"/>
      <c r="F55" s="40"/>
      <c r="G55" s="40"/>
      <c r="H55" s="40"/>
      <c r="I55" s="40"/>
      <c r="J55" s="40"/>
      <c r="K55" s="40">
        <v>0</v>
      </c>
      <c r="L55" s="40">
        <v>400000</v>
      </c>
      <c r="M55" s="40">
        <v>0</v>
      </c>
      <c r="N55" s="40">
        <v>1671959.93</v>
      </c>
      <c r="O55" s="40">
        <v>0</v>
      </c>
      <c r="P55" s="39"/>
      <c r="Q55" s="41">
        <f t="shared" si="3"/>
        <v>2071959.93</v>
      </c>
    </row>
    <row r="56" s="10" customFormat="1" ht="38.25" customHeight="1" spans="2:17">
      <c r="B56" s="42" t="s">
        <v>61</v>
      </c>
      <c r="C56" s="40">
        <v>12120000</v>
      </c>
      <c r="D56" s="39">
        <v>720000</v>
      </c>
      <c r="E56" s="40">
        <v>0</v>
      </c>
      <c r="F56" s="40">
        <v>0</v>
      </c>
      <c r="G56" s="40"/>
      <c r="H56" s="40"/>
      <c r="I56" s="40">
        <v>20576.84</v>
      </c>
      <c r="J56" s="40"/>
      <c r="K56" s="40"/>
      <c r="L56" s="40">
        <v>4076034</v>
      </c>
      <c r="M56" s="40"/>
      <c r="N56" s="40"/>
      <c r="O56" s="40">
        <v>0</v>
      </c>
      <c r="P56" s="39"/>
      <c r="Q56" s="41">
        <f t="shared" si="3"/>
        <v>4096610.84</v>
      </c>
    </row>
    <row r="57" s="10" customFormat="1" ht="27" customHeight="1" spans="2:17">
      <c r="B57" s="37" t="s">
        <v>62</v>
      </c>
      <c r="C57" s="40">
        <v>8200000</v>
      </c>
      <c r="D57" s="39">
        <v>-450000</v>
      </c>
      <c r="E57" s="40"/>
      <c r="F57" s="40"/>
      <c r="G57" s="40"/>
      <c r="H57" s="40"/>
      <c r="I57" s="40">
        <v>543713.32</v>
      </c>
      <c r="J57" s="40"/>
      <c r="K57" s="40">
        <v>0</v>
      </c>
      <c r="L57" s="40">
        <v>1084480</v>
      </c>
      <c r="M57" s="40">
        <v>1945820</v>
      </c>
      <c r="N57" s="40">
        <v>0</v>
      </c>
      <c r="O57" s="40">
        <v>1526996.65</v>
      </c>
      <c r="P57" s="39"/>
      <c r="Q57" s="41">
        <f t="shared" si="3"/>
        <v>5101009.97</v>
      </c>
    </row>
    <row r="58" s="10" customFormat="1" ht="27" customHeight="1" spans="2:17">
      <c r="B58" s="37" t="s">
        <v>63</v>
      </c>
      <c r="C58" s="40">
        <v>400000</v>
      </c>
      <c r="D58" s="39">
        <v>370000</v>
      </c>
      <c r="E58" s="40"/>
      <c r="F58" s="40"/>
      <c r="G58" s="40"/>
      <c r="H58" s="40"/>
      <c r="I58" s="40">
        <v>0</v>
      </c>
      <c r="J58" s="40">
        <v>306328</v>
      </c>
      <c r="K58" s="40">
        <v>0</v>
      </c>
      <c r="L58" s="40">
        <v>250000</v>
      </c>
      <c r="M58" s="40"/>
      <c r="N58" s="40">
        <v>33311.4</v>
      </c>
      <c r="O58" s="40"/>
      <c r="P58" s="39"/>
      <c r="Q58" s="41">
        <f t="shared" si="3"/>
        <v>589639.4</v>
      </c>
    </row>
    <row r="59" s="10" customFormat="1" ht="27" customHeight="1" spans="2:17">
      <c r="B59" s="37" t="s">
        <v>64</v>
      </c>
      <c r="C59" s="40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>
        <v>0</v>
      </c>
      <c r="O59" s="40"/>
      <c r="P59" s="39"/>
      <c r="Q59" s="41">
        <f t="shared" si="3"/>
        <v>0</v>
      </c>
    </row>
    <row r="60" s="10" customFormat="1" ht="27" customHeight="1" spans="2:17">
      <c r="B60" s="37" t="s">
        <v>65</v>
      </c>
      <c r="C60" s="40">
        <v>3000000</v>
      </c>
      <c r="D60" s="39">
        <v>-2850000</v>
      </c>
      <c r="E60" s="40">
        <v>0</v>
      </c>
      <c r="F60" s="40">
        <v>0</v>
      </c>
      <c r="G60" s="40">
        <v>0</v>
      </c>
      <c r="H60" s="40"/>
      <c r="I60" s="40">
        <v>138060</v>
      </c>
      <c r="J60" s="40"/>
      <c r="K60" s="40"/>
      <c r="L60" s="40"/>
      <c r="M60" s="40"/>
      <c r="N60" s="40">
        <v>0</v>
      </c>
      <c r="O60" s="40"/>
      <c r="P60" s="39"/>
      <c r="Q60" s="41">
        <f t="shared" si="3"/>
        <v>138060</v>
      </c>
    </row>
    <row r="61" s="10" customFormat="1" ht="36.75" customHeight="1" spans="2:17">
      <c r="B61" s="42" t="s">
        <v>66</v>
      </c>
      <c r="C61" s="40">
        <v>500000</v>
      </c>
      <c r="D61" s="39">
        <v>5031512</v>
      </c>
      <c r="E61" s="40"/>
      <c r="F61" s="40"/>
      <c r="G61" s="40">
        <v>4381512.22</v>
      </c>
      <c r="H61" s="40"/>
      <c r="I61" s="40"/>
      <c r="J61" s="40">
        <v>938221.54</v>
      </c>
      <c r="K61" s="40"/>
      <c r="L61" s="40"/>
      <c r="M61" s="40"/>
      <c r="N61" s="40">
        <v>0</v>
      </c>
      <c r="O61" s="40"/>
      <c r="P61" s="39"/>
      <c r="Q61" s="41">
        <f t="shared" si="3"/>
        <v>5319733.76</v>
      </c>
    </row>
    <row r="62" s="10" customFormat="1" ht="27" customHeight="1" spans="2:17">
      <c r="B62" s="33" t="s">
        <v>67</v>
      </c>
      <c r="C62" s="35">
        <f>SUM(C63:C65)</f>
        <v>3900000</v>
      </c>
      <c r="D62" s="35">
        <f>+D63+D64+D65+D66</f>
        <v>18300000</v>
      </c>
      <c r="E62" s="35">
        <f>SUM(E63:E65)</f>
        <v>0</v>
      </c>
      <c r="F62" s="35">
        <f>SUM(F63:F65)</f>
        <v>0</v>
      </c>
      <c r="G62" s="35">
        <f>SUM(G63:G65)</f>
        <v>0</v>
      </c>
      <c r="H62" s="35"/>
      <c r="I62" s="35"/>
      <c r="J62" s="35"/>
      <c r="K62" s="35"/>
      <c r="L62" s="35"/>
      <c r="M62" s="35"/>
      <c r="N62" s="35">
        <f>+N63+N64+N65+N66</f>
        <v>954148.35</v>
      </c>
      <c r="O62" s="35">
        <f>+O63+O64+O65+O66</f>
        <v>45851.83</v>
      </c>
      <c r="P62" s="39"/>
      <c r="Q62" s="41">
        <f t="shared" si="3"/>
        <v>1000000.18</v>
      </c>
    </row>
    <row r="63" s="10" customFormat="1" ht="27" customHeight="1" spans="2:17">
      <c r="B63" s="37" t="s">
        <v>68</v>
      </c>
      <c r="C63" s="40">
        <v>3900000</v>
      </c>
      <c r="D63" s="39">
        <v>18300000</v>
      </c>
      <c r="E63" s="40">
        <v>0</v>
      </c>
      <c r="F63" s="40">
        <v>0</v>
      </c>
      <c r="G63" s="40">
        <v>0</v>
      </c>
      <c r="H63" s="40"/>
      <c r="I63" s="40"/>
      <c r="J63" s="40"/>
      <c r="K63" s="40"/>
      <c r="L63" s="40"/>
      <c r="M63" s="40"/>
      <c r="N63" s="40">
        <v>954148.35</v>
      </c>
      <c r="O63" s="40">
        <v>45851.83</v>
      </c>
      <c r="P63" s="39"/>
      <c r="Q63" s="41">
        <f t="shared" si="3"/>
        <v>1000000.18</v>
      </c>
    </row>
    <row r="64" s="10" customFormat="1" ht="27" customHeight="1" spans="2:17">
      <c r="B64" s="37" t="s">
        <v>69</v>
      </c>
      <c r="C64" s="40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>
        <v>0</v>
      </c>
      <c r="O64" s="40"/>
      <c r="P64" s="39"/>
      <c r="Q64" s="41">
        <f t="shared" si="3"/>
        <v>0</v>
      </c>
    </row>
    <row r="65" s="10" customFormat="1" ht="27" customHeight="1" spans="2:17">
      <c r="B65" s="37" t="s">
        <v>70</v>
      </c>
      <c r="C65" s="40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>
        <v>0</v>
      </c>
      <c r="O65" s="40"/>
      <c r="P65" s="39"/>
      <c r="Q65" s="41">
        <f t="shared" si="3"/>
        <v>0</v>
      </c>
    </row>
    <row r="66" s="10" customFormat="1" ht="44.25" customHeight="1" spans="2:17">
      <c r="B66" s="42" t="s">
        <v>71</v>
      </c>
      <c r="C66" s="40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>
        <v>0</v>
      </c>
      <c r="O66" s="40"/>
      <c r="P66" s="39"/>
      <c r="Q66" s="41">
        <f t="shared" si="3"/>
        <v>0</v>
      </c>
    </row>
    <row r="67" s="10" customFormat="1" ht="42" customHeight="1" spans="2:17">
      <c r="B67" s="45" t="s">
        <v>72</v>
      </c>
      <c r="C67" s="35"/>
      <c r="D67" s="44"/>
      <c r="E67" s="35"/>
      <c r="F67" s="35"/>
      <c r="G67" s="35"/>
      <c r="H67" s="35"/>
      <c r="I67" s="35"/>
      <c r="J67" s="35"/>
      <c r="K67" s="35"/>
      <c r="L67" s="35"/>
      <c r="M67" s="35"/>
      <c r="N67" s="35">
        <v>0</v>
      </c>
      <c r="O67" s="40"/>
      <c r="P67" s="39"/>
      <c r="Q67" s="41">
        <f t="shared" si="3"/>
        <v>0</v>
      </c>
    </row>
    <row r="68" s="10" customFormat="1" ht="27" customHeight="1" spans="2:17">
      <c r="B68" s="37" t="s">
        <v>73</v>
      </c>
      <c r="C68" s="40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>
        <v>0</v>
      </c>
      <c r="O68" s="40"/>
      <c r="P68" s="39"/>
      <c r="Q68" s="41">
        <f t="shared" si="3"/>
        <v>0</v>
      </c>
    </row>
    <row r="69" s="10" customFormat="1" ht="39.75" customHeight="1" spans="2:17">
      <c r="B69" s="42" t="s">
        <v>74</v>
      </c>
      <c r="C69" s="40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>
        <v>0</v>
      </c>
      <c r="O69" s="40"/>
      <c r="P69" s="39"/>
      <c r="Q69" s="41">
        <f t="shared" si="3"/>
        <v>0</v>
      </c>
    </row>
    <row r="70" s="10" customFormat="1" ht="27" customHeight="1" spans="2:17">
      <c r="B70" s="33" t="s">
        <v>75</v>
      </c>
      <c r="C70" s="35">
        <f>SUM(C71:C73)</f>
        <v>0</v>
      </c>
      <c r="D70" s="44"/>
      <c r="E70" s="35">
        <f>SUM(E71:E73)</f>
        <v>0</v>
      </c>
      <c r="F70" s="35">
        <f>SUM(F71:F73)</f>
        <v>0</v>
      </c>
      <c r="G70" s="35">
        <f>SUM(G71:G73)</f>
        <v>0</v>
      </c>
      <c r="H70" s="35">
        <f t="shared" ref="H70:N70" si="7">SUM(H71:H73)</f>
        <v>0</v>
      </c>
      <c r="I70" s="35">
        <f t="shared" si="7"/>
        <v>0</v>
      </c>
      <c r="J70" s="35">
        <f t="shared" si="7"/>
        <v>0</v>
      </c>
      <c r="K70" s="35">
        <f t="shared" si="7"/>
        <v>0</v>
      </c>
      <c r="L70" s="35">
        <f t="shared" si="7"/>
        <v>0</v>
      </c>
      <c r="M70" s="35">
        <f t="shared" si="7"/>
        <v>0</v>
      </c>
      <c r="N70" s="35">
        <f t="shared" si="7"/>
        <v>0</v>
      </c>
      <c r="O70" s="40"/>
      <c r="P70" s="39"/>
      <c r="Q70" s="41">
        <f t="shared" si="3"/>
        <v>0</v>
      </c>
    </row>
    <row r="71" s="10" customFormat="1" ht="27" customHeight="1" spans="2:17">
      <c r="B71" s="37" t="s">
        <v>76</v>
      </c>
      <c r="C71" s="40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>
        <v>0</v>
      </c>
      <c r="O71" s="40"/>
      <c r="P71" s="39"/>
      <c r="Q71" s="41">
        <f t="shared" si="3"/>
        <v>0</v>
      </c>
    </row>
    <row r="72" s="10" customFormat="1" ht="27" customHeight="1" spans="2:17">
      <c r="B72" s="37" t="s">
        <v>77</v>
      </c>
      <c r="C72" s="40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>
        <v>0</v>
      </c>
      <c r="O72" s="40"/>
      <c r="P72" s="39"/>
      <c r="Q72" s="41">
        <f t="shared" si="3"/>
        <v>0</v>
      </c>
    </row>
    <row r="73" s="10" customFormat="1" ht="42" customHeight="1" spans="2:17">
      <c r="B73" s="42" t="s">
        <v>78</v>
      </c>
      <c r="C73" s="40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>
        <v>0</v>
      </c>
      <c r="O73" s="40"/>
      <c r="P73" s="39"/>
      <c r="Q73" s="41">
        <f t="shared" si="3"/>
        <v>0</v>
      </c>
    </row>
    <row r="74" s="10" customFormat="1" ht="27" customHeight="1" spans="2:17">
      <c r="B74" s="30" t="s">
        <v>79</v>
      </c>
      <c r="C74" s="48"/>
      <c r="D74" s="47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</row>
    <row r="75" s="10" customFormat="1" ht="27" customHeight="1" spans="2:17">
      <c r="B75" s="33" t="s">
        <v>80</v>
      </c>
      <c r="C75" s="167"/>
      <c r="D75" s="4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39"/>
      <c r="Q75" s="41">
        <f t="shared" si="3"/>
        <v>0</v>
      </c>
    </row>
    <row r="76" s="10" customFormat="1" ht="27" customHeight="1" spans="2:17">
      <c r="B76" s="37" t="s">
        <v>81</v>
      </c>
      <c r="C76" s="168"/>
      <c r="D76" s="39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39"/>
      <c r="Q76" s="41">
        <f t="shared" si="3"/>
        <v>0</v>
      </c>
    </row>
    <row r="77" s="10" customFormat="1" ht="27" customHeight="1" spans="2:17">
      <c r="B77" s="37" t="s">
        <v>82</v>
      </c>
      <c r="C77" s="168"/>
      <c r="D77" s="39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39"/>
      <c r="Q77" s="41">
        <f t="shared" si="3"/>
        <v>0</v>
      </c>
    </row>
    <row r="78" s="10" customFormat="1" ht="27" customHeight="1" spans="2:17">
      <c r="B78" s="33" t="s">
        <v>83</v>
      </c>
      <c r="C78" s="167"/>
      <c r="D78" s="44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39"/>
      <c r="Q78" s="41">
        <f t="shared" si="3"/>
        <v>0</v>
      </c>
    </row>
    <row r="79" s="10" customFormat="1" ht="27" customHeight="1" spans="2:17">
      <c r="B79" s="37" t="s">
        <v>84</v>
      </c>
      <c r="C79" s="168"/>
      <c r="D79" s="39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39"/>
      <c r="Q79" s="41">
        <f t="shared" si="3"/>
        <v>0</v>
      </c>
    </row>
    <row r="80" s="10" customFormat="1" ht="27" customHeight="1" spans="2:17">
      <c r="B80" s="37" t="s">
        <v>85</v>
      </c>
      <c r="C80" s="168"/>
      <c r="D80" s="39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39"/>
      <c r="Q80" s="41">
        <f t="shared" si="3"/>
        <v>0</v>
      </c>
    </row>
    <row r="81" s="10" customFormat="1" ht="27" customHeight="1" spans="2:17">
      <c r="B81" s="33" t="s">
        <v>86</v>
      </c>
      <c r="C81" s="167"/>
      <c r="D81" s="44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39"/>
      <c r="Q81" s="41">
        <f t="shared" si="3"/>
        <v>0</v>
      </c>
    </row>
    <row r="82" s="10" customFormat="1" ht="27" customHeight="1" spans="2:17">
      <c r="B82" s="37" t="s">
        <v>87</v>
      </c>
      <c r="C82" s="168"/>
      <c r="D82" s="39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39"/>
      <c r="Q82" s="41">
        <f t="shared" si="3"/>
        <v>0</v>
      </c>
    </row>
    <row r="83" s="10" customFormat="1" ht="24.95" customHeight="1" spans="2:17">
      <c r="B83" s="51" t="s">
        <v>88</v>
      </c>
      <c r="C83" s="53">
        <f>+C10+C16+C26+C36+C44+C52+C62+C67+C70</f>
        <v>1024795636</v>
      </c>
      <c r="D83" s="53">
        <f>+D10+D16+D26+D36+D52+D62</f>
        <v>206847051</v>
      </c>
      <c r="E83" s="53">
        <f t="shared" ref="E83:P83" si="8">+E10+E16+E26+E36+E44+E52+E62+E67+E70</f>
        <v>34516386.94</v>
      </c>
      <c r="F83" s="54">
        <f t="shared" si="8"/>
        <v>78356760.78</v>
      </c>
      <c r="G83" s="53">
        <f t="shared" si="8"/>
        <v>50464106.84</v>
      </c>
      <c r="H83" s="53">
        <f t="shared" si="8"/>
        <v>136014282.98</v>
      </c>
      <c r="I83" s="53">
        <f t="shared" si="8"/>
        <v>58612964.84</v>
      </c>
      <c r="J83" s="53">
        <f t="shared" si="8"/>
        <v>52541049.4</v>
      </c>
      <c r="K83" s="53">
        <f t="shared" si="8"/>
        <v>49338112.97</v>
      </c>
      <c r="L83" s="53">
        <f t="shared" si="8"/>
        <v>85330352.84</v>
      </c>
      <c r="M83" s="53">
        <f t="shared" si="8"/>
        <v>115419531.58</v>
      </c>
      <c r="N83" s="53">
        <f t="shared" si="8"/>
        <v>74244474.43</v>
      </c>
      <c r="O83" s="53">
        <f t="shared" si="8"/>
        <v>79277057.03</v>
      </c>
      <c r="P83" s="53">
        <f t="shared" si="8"/>
        <v>0</v>
      </c>
      <c r="Q83" s="55">
        <f t="shared" si="3"/>
        <v>814115080.63</v>
      </c>
    </row>
    <row r="84" ht="18.75" spans="2:17">
      <c r="B84" s="111" t="s">
        <v>124</v>
      </c>
      <c r="J84" s="122"/>
    </row>
    <row r="85" ht="18.75" spans="2:17">
      <c r="B85" s="112" t="s">
        <v>90</v>
      </c>
      <c r="J85" s="91"/>
      <c r="M85" s="113"/>
    </row>
    <row r="86" ht="37.5" spans="2:17">
      <c r="B86" s="112" t="s">
        <v>91</v>
      </c>
    </row>
    <row r="87" ht="18.75" spans="2:17">
      <c r="B87" s="112" t="s">
        <v>92</v>
      </c>
    </row>
    <row r="88" ht="18.75" spans="2:17">
      <c r="B88" s="112" t="s">
        <v>93</v>
      </c>
    </row>
    <row r="89" ht="18.75" spans="2:17">
      <c r="B89" s="112" t="s">
        <v>94</v>
      </c>
    </row>
    <row r="90" ht="18.75" spans="2:17">
      <c r="B90" s="112" t="s">
        <v>95</v>
      </c>
    </row>
    <row r="91" ht="18.75" spans="2:17">
      <c r="B91" s="13"/>
    </row>
    <row r="92" ht="18.75" spans="2:17">
      <c r="B92" s="13"/>
    </row>
    <row r="93" ht="18.75" spans="2:17">
      <c r="B93" s="13"/>
    </row>
    <row r="94" ht="37.5" customHeight="1" spans="2:17">
      <c r="B94" s="62" t="s">
        <v>129</v>
      </c>
      <c r="F94" s="62" t="s">
        <v>133</v>
      </c>
      <c r="H94" s="57"/>
      <c r="I94" s="57"/>
      <c r="J94" s="58" t="s">
        <v>126</v>
      </c>
      <c r="K94" s="58"/>
      <c r="L94" s="58"/>
      <c r="M94" s="57"/>
      <c r="N94" s="57"/>
    </row>
    <row r="95" ht="23.25" spans="2:17">
      <c r="B95" s="60" t="s">
        <v>130</v>
      </c>
      <c r="F95" s="60" t="s">
        <v>127</v>
      </c>
      <c r="H95" s="169"/>
      <c r="I95" s="169"/>
      <c r="J95" s="60" t="s">
        <v>132</v>
      </c>
      <c r="K95" s="60"/>
      <c r="L95" s="60"/>
      <c r="M95" s="169"/>
      <c r="N95" s="169"/>
    </row>
    <row r="97" ht="33.75" customHeight="1" spans="1:17">
      <c r="A97" s="56" t="s">
        <v>97</v>
      </c>
      <c r="D97" s="58"/>
      <c r="E97" s="58"/>
      <c r="F97" s="5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ht="23.25" spans="1:17">
      <c r="D98" s="60"/>
      <c r="E98" s="60"/>
      <c r="F98" s="60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</row>
    <row r="99" ht="23.25" spans="1:17">
      <c r="B99" s="61"/>
      <c r="C99" s="61"/>
      <c r="D99" s="61"/>
    </row>
    <row r="100" ht="23.25" spans="1:17">
      <c r="B100" s="62"/>
      <c r="C100" s="62"/>
      <c r="D100" s="62"/>
    </row>
    <row r="101" ht="23.25" spans="1:17">
      <c r="B101" s="63" t="s">
        <v>98</v>
      </c>
      <c r="C101" s="63"/>
      <c r="D101" s="63"/>
    </row>
    <row r="102" ht="21" customHeight="1" spans="1:17">
      <c r="B102" s="61" t="s">
        <v>99</v>
      </c>
      <c r="C102" s="61"/>
    </row>
    <row r="103" ht="21" spans="1:17">
      <c r="B103" s="64"/>
      <c r="C103" s="64"/>
      <c r="D103" s="64"/>
    </row>
  </sheetData>
  <mergeCells count="14">
    <mergeCell ref="B1:Q1"/>
    <mergeCell ref="B2:Q2"/>
    <mergeCell ref="B3:Q3"/>
    <mergeCell ref="B4:Q4"/>
    <mergeCell ref="E7:Q7"/>
    <mergeCell ref="J94:L94"/>
    <mergeCell ref="J95:L95"/>
    <mergeCell ref="D97:F97"/>
    <mergeCell ref="D98:F98"/>
    <mergeCell ref="B100:D100"/>
    <mergeCell ref="B103:D103"/>
    <mergeCell ref="B7:B8"/>
    <mergeCell ref="C7:C8"/>
    <mergeCell ref="D7:D8"/>
  </mergeCells>
  <pageMargins left="0.43" right="0.42" top="0.53" bottom="0.54" header="0.31496062992126" footer="0.31496062992126"/>
  <pageSetup paperSize="119" scale="34" orientation="landscape"/>
  <headerFooter/>
  <rowBreaks count="1" manualBreakCount="1">
    <brk id="48" max="1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Ejecucion junio 2026</vt:lpstr>
      <vt:lpstr>Ejecucion junio 2026 (2)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bethania.espinal</cp:lastModifiedBy>
  <dcterms:created xsi:type="dcterms:W3CDTF">2006-09-16T00:00:00Z</dcterms:created>
  <dcterms:modified xsi:type="dcterms:W3CDTF">2026-07-07T16:00:28Z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88AADDF7F00B4905A2313DDF1D67654F_13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