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7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8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9.xml" ContentType="application/vnd.openxmlformats-officedocument.spreadsheetml.comments+xml"/>
  <Override PartName="/xl/drawings/drawing21.xml" ContentType="application/vnd.openxmlformats-officedocument.drawing+xml"/>
  <Override PartName="/xl/comments10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11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22" activeTab="22"/>
  </bookViews>
  <sheets>
    <sheet name="Balance General ENERO 22" sheetId="14" state="hidden" r:id="rId1"/>
    <sheet name="Estado de Resultado ENERO 2022" sheetId="12" state="hidden" r:id="rId2"/>
    <sheet name="Balance General febrero 22 " sheetId="18" state="hidden" r:id="rId3"/>
    <sheet name="Estado de Resultado FEBRERO " sheetId="19" state="hidden" r:id="rId4"/>
    <sheet name="Balance General marzo 22" sheetId="20" state="hidden" r:id="rId5"/>
    <sheet name="Estado de Resultado MARZO2022" sheetId="17" state="hidden" r:id="rId6"/>
    <sheet name="Estado de Resultado ABRIL" sheetId="21" state="hidden" r:id="rId7"/>
    <sheet name="Estado de Resultado ABRIL 22" sheetId="22" state="hidden" r:id="rId8"/>
    <sheet name="Estado de Resultado Mayo22" sheetId="24" state="hidden" r:id="rId9"/>
    <sheet name="Balance General Mayo 22 " sheetId="25" state="hidden" r:id="rId10"/>
    <sheet name="Balance General JUNIO 22" sheetId="27" state="hidden" r:id="rId11"/>
    <sheet name="Estado de Resultado junio 22" sheetId="26" state="hidden" r:id="rId12"/>
    <sheet name="ESTADO DE RESULTADOS JULIO 22" sheetId="28" state="hidden" r:id="rId13"/>
    <sheet name="BALANCE GENERAL JULIO 2022" sheetId="29" state="hidden" r:id="rId14"/>
    <sheet name="ESTADO DE RESULTADO AGOSTO 2022" sheetId="31" state="hidden" r:id="rId15"/>
    <sheet name="BALANCE GENERAL AGOSTO 2022" sheetId="30" state="hidden" r:id="rId16"/>
    <sheet name="ESTADO DE RESULTADOS SEPT 2022" sheetId="32" state="hidden" r:id="rId17"/>
    <sheet name="BALANCE GENERAL SEPT.2022" sheetId="33" state="hidden" r:id="rId18"/>
    <sheet name="ESTADO DE RESULTADOS OCTU 2022" sheetId="34" state="hidden" r:id="rId19"/>
    <sheet name="BALANCE GENERAL OCTUBRE 2022" sheetId="35" state="hidden" r:id="rId20"/>
    <sheet name="BALANCE GENERAL NOVIEMBRE 2022" sheetId="37" state="hidden" r:id="rId21"/>
    <sheet name="ESTADO DE RESULTADOS NOV 2022" sheetId="36" state="hidden" r:id="rId22"/>
    <sheet name="BALANCE GENERAL DICIEMBRE 2022" sheetId="38" r:id="rId23"/>
    <sheet name="ESTADO DE RESULTADOS DIC 2022" sheetId="39" state="hidden" r:id="rId24"/>
    <sheet name="Bsalance General Marzo" sheetId="10" state="hidden" r:id="rId25"/>
    <sheet name="estado de resultado  marzo" sheetId="8" state="hidden" r:id="rId26"/>
    <sheet name="Hoja1" sheetId="7" state="hidden" r:id="rId27"/>
  </sheets>
  <externalReferences>
    <externalReference r:id="rId28"/>
    <externalReference r:id="rId29"/>
  </externalReferences>
  <definedNames>
    <definedName name="_xlnm.Print_Area" localSheetId="22">'BALANCE GENERAL DICIEMBRE 2022'!$A$1:$Z$50</definedName>
    <definedName name="_xlnm.Print_Area" localSheetId="25">'estado de resultado  marzo'!$A$1:$E$204</definedName>
    <definedName name="_xlnm.Print_Area" localSheetId="6">'Estado de Resultado ABRIL'!$A$1:$E$216</definedName>
    <definedName name="_xlnm.Print_Area" localSheetId="7">'Estado de Resultado ABRIL 22'!$A$1:$E$216</definedName>
    <definedName name="_xlnm.Print_Area" localSheetId="1">'Estado de Resultado ENERO 2022'!$A$1:$E$211</definedName>
    <definedName name="_xlnm.Print_Area" localSheetId="3">'Estado de Resultado FEBRERO '!$A$1:$E$213</definedName>
    <definedName name="_xlnm.Print_Area" localSheetId="11">'Estado de Resultado junio 22'!$A$1:$E$216</definedName>
    <definedName name="_xlnm.Print_Area" localSheetId="5">'Estado de Resultado MARZO2022'!$A$1:$E$214</definedName>
    <definedName name="_xlnm.Print_Area" localSheetId="8">'Estado de Resultado Mayo22'!$A$1:$E$216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9" i="38" l="1"/>
  <c r="Z22" i="27" l="1"/>
  <c r="Z22" i="38"/>
  <c r="E15" i="39"/>
  <c r="Z39" i="37"/>
  <c r="D152" i="39"/>
  <c r="D150" i="39"/>
  <c r="D149" i="39"/>
  <c r="D148" i="39"/>
  <c r="D146" i="39"/>
  <c r="D144" i="39"/>
  <c r="D142" i="39"/>
  <c r="D140" i="39"/>
  <c r="D130" i="39"/>
  <c r="D129" i="39"/>
  <c r="D119" i="39"/>
  <c r="D117" i="39"/>
  <c r="D110" i="39"/>
  <c r="D102" i="39"/>
  <c r="D92" i="39"/>
  <c r="D78" i="39"/>
  <c r="D54" i="39"/>
  <c r="D51" i="39"/>
  <c r="D50" i="39"/>
  <c r="D49" i="39"/>
  <c r="D42" i="39"/>
  <c r="D41" i="39"/>
  <c r="D40" i="39"/>
  <c r="D29" i="39"/>
  <c r="D18" i="39"/>
  <c r="Z30" i="37" l="1"/>
  <c r="Z22" i="37"/>
  <c r="Z15" i="37"/>
  <c r="D152" i="36"/>
  <c r="D146" i="36"/>
  <c r="D144" i="36"/>
  <c r="D130" i="36"/>
  <c r="D111" i="36"/>
  <c r="D103" i="36"/>
  <c r="D93" i="36"/>
  <c r="D55" i="36"/>
  <c r="D53" i="36"/>
  <c r="D51" i="36"/>
  <c r="D50" i="36"/>
  <c r="D49" i="36"/>
  <c r="Z23" i="37" l="1"/>
  <c r="D26" i="36"/>
  <c r="D18" i="36"/>
  <c r="D59" i="36"/>
  <c r="D42" i="36"/>
  <c r="D41" i="36"/>
  <c r="D40" i="36"/>
  <c r="D207" i="36"/>
  <c r="D183" i="36"/>
  <c r="D156" i="36"/>
  <c r="D102" i="36"/>
  <c r="D43" i="36"/>
  <c r="D17" i="36"/>
  <c r="D210" i="39"/>
  <c r="D186" i="39"/>
  <c r="E173" i="39"/>
  <c r="E176" i="39" s="1"/>
  <c r="D156" i="39"/>
  <c r="D101" i="39"/>
  <c r="D43" i="39"/>
  <c r="D17" i="39"/>
  <c r="U40" i="38"/>
  <c r="S40" i="38"/>
  <c r="P40" i="38"/>
  <c r="O40" i="38"/>
  <c r="M40" i="38"/>
  <c r="L40" i="38"/>
  <c r="K40" i="38"/>
  <c r="J40" i="38"/>
  <c r="I40" i="38"/>
  <c r="G40" i="38"/>
  <c r="F40" i="38"/>
  <c r="D40" i="38"/>
  <c r="Y39" i="38"/>
  <c r="H39" i="38"/>
  <c r="C39" i="38"/>
  <c r="B39" i="38"/>
  <c r="B40" i="38" s="1"/>
  <c r="Z38" i="38"/>
  <c r="Y38" i="38"/>
  <c r="H38" i="38"/>
  <c r="H40" i="38" s="1"/>
  <c r="V37" i="38"/>
  <c r="W37" i="38" s="1"/>
  <c r="T37" i="38"/>
  <c r="T40" i="38" s="1"/>
  <c r="Q37" i="38"/>
  <c r="Q40" i="38" s="1"/>
  <c r="E37" i="38"/>
  <c r="C37" i="38"/>
  <c r="E36" i="38"/>
  <c r="E40" i="38" s="1"/>
  <c r="C36" i="38"/>
  <c r="C40" i="38" s="1"/>
  <c r="Z30" i="38"/>
  <c r="Z33" i="38" s="1"/>
  <c r="X30" i="38"/>
  <c r="X33" i="38" s="1"/>
  <c r="W30" i="38"/>
  <c r="W33" i="38" s="1"/>
  <c r="V30" i="38"/>
  <c r="V33" i="38" s="1"/>
  <c r="T30" i="38"/>
  <c r="T33" i="38" s="1"/>
  <c r="T41" i="38" s="1"/>
  <c r="S30" i="38"/>
  <c r="S33" i="38" s="1"/>
  <c r="S41" i="38" s="1"/>
  <c r="R30" i="38"/>
  <c r="R33" i="38" s="1"/>
  <c r="M30" i="38"/>
  <c r="M33" i="38" s="1"/>
  <c r="M41" i="38" s="1"/>
  <c r="K30" i="38"/>
  <c r="K33" i="38" s="1"/>
  <c r="K41" i="38" s="1"/>
  <c r="J30" i="38"/>
  <c r="J33" i="38" s="1"/>
  <c r="J41" i="38" s="1"/>
  <c r="H30" i="38"/>
  <c r="H33" i="38" s="1"/>
  <c r="F30" i="38"/>
  <c r="F33" i="38" s="1"/>
  <c r="F41" i="38" s="1"/>
  <c r="E30" i="38"/>
  <c r="E33" i="38" s="1"/>
  <c r="E41" i="38" s="1"/>
  <c r="D30" i="38"/>
  <c r="D33" i="38" s="1"/>
  <c r="D41" i="38" s="1"/>
  <c r="C30" i="38"/>
  <c r="C33" i="38" s="1"/>
  <c r="C41" i="38" s="1"/>
  <c r="G29" i="38"/>
  <c r="G30" i="38" s="1"/>
  <c r="G33" i="38" s="1"/>
  <c r="G41" i="38" s="1"/>
  <c r="B29" i="38"/>
  <c r="B30" i="38" s="1"/>
  <c r="B33" i="38" s="1"/>
  <c r="B41" i="38" s="1"/>
  <c r="Y27" i="38"/>
  <c r="Y30" i="38" s="1"/>
  <c r="Y33" i="38" s="1"/>
  <c r="U27" i="38"/>
  <c r="U30" i="38" s="1"/>
  <c r="U33" i="38" s="1"/>
  <c r="U41" i="38" s="1"/>
  <c r="P27" i="38"/>
  <c r="O27" i="38"/>
  <c r="O30" i="38" s="1"/>
  <c r="O33" i="38" s="1"/>
  <c r="O41" i="38" s="1"/>
  <c r="L27" i="38"/>
  <c r="L30" i="38" s="1"/>
  <c r="L33" i="38" s="1"/>
  <c r="L41" i="38" s="1"/>
  <c r="I27" i="38"/>
  <c r="I30" i="38" s="1"/>
  <c r="I33" i="38" s="1"/>
  <c r="I41" i="38" s="1"/>
  <c r="Y22" i="38"/>
  <c r="X22" i="38"/>
  <c r="W22" i="38"/>
  <c r="T22" i="38"/>
  <c r="O22" i="38"/>
  <c r="L22" i="38"/>
  <c r="J22" i="38"/>
  <c r="K20" i="38"/>
  <c r="I20" i="38"/>
  <c r="G20" i="38"/>
  <c r="F20" i="38"/>
  <c r="E20" i="38"/>
  <c r="V19" i="38"/>
  <c r="V22" i="38" s="1"/>
  <c r="U19" i="38"/>
  <c r="S19" i="38"/>
  <c r="S22" i="38" s="1"/>
  <c r="R19" i="38"/>
  <c r="Q19" i="38"/>
  <c r="P19" i="38"/>
  <c r="M19" i="38"/>
  <c r="K19" i="38"/>
  <c r="I19" i="38"/>
  <c r="H19" i="38"/>
  <c r="G19" i="38"/>
  <c r="E19" i="38"/>
  <c r="D19" i="38"/>
  <c r="D22" i="38" s="1"/>
  <c r="C19" i="38"/>
  <c r="C22" i="38" s="1"/>
  <c r="B19" i="38"/>
  <c r="U18" i="38"/>
  <c r="U22" i="38" s="1"/>
  <c r="R18" i="38"/>
  <c r="R22" i="38" s="1"/>
  <c r="Q18" i="38"/>
  <c r="P18" i="38"/>
  <c r="M18" i="38"/>
  <c r="M22" i="38" s="1"/>
  <c r="K18" i="38"/>
  <c r="K22" i="38" s="1"/>
  <c r="I18" i="38"/>
  <c r="I22" i="38" s="1"/>
  <c r="H18" i="38"/>
  <c r="H22" i="38" s="1"/>
  <c r="G18" i="38"/>
  <c r="F18" i="38"/>
  <c r="F22" i="38" s="1"/>
  <c r="E18" i="38"/>
  <c r="B18" i="38"/>
  <c r="B22" i="38" s="1"/>
  <c r="Z15" i="38"/>
  <c r="U15" i="38"/>
  <c r="U23" i="38" s="1"/>
  <c r="T15" i="38"/>
  <c r="T23" i="38" s="1"/>
  <c r="S15" i="38"/>
  <c r="S23" i="38" s="1"/>
  <c r="R15" i="38"/>
  <c r="Q15" i="38"/>
  <c r="P15" i="38"/>
  <c r="O15" i="38"/>
  <c r="O23" i="38" s="1"/>
  <c r="K15" i="38"/>
  <c r="K23" i="38" s="1"/>
  <c r="J15" i="38"/>
  <c r="J23" i="38" s="1"/>
  <c r="J43" i="38" s="1"/>
  <c r="H15" i="38"/>
  <c r="H23" i="38" s="1"/>
  <c r="G15" i="38"/>
  <c r="F15" i="38"/>
  <c r="D15" i="38"/>
  <c r="D23" i="38" s="1"/>
  <c r="D42" i="38" s="1"/>
  <c r="C15" i="38"/>
  <c r="X14" i="38"/>
  <c r="Y14" i="38" s="1"/>
  <c r="W14" i="38"/>
  <c r="V14" i="38"/>
  <c r="Y11" i="38"/>
  <c r="Y15" i="38" s="1"/>
  <c r="Y23" i="38" s="1"/>
  <c r="X11" i="38"/>
  <c r="X15" i="38" s="1"/>
  <c r="X23" i="38" s="1"/>
  <c r="W11" i="38"/>
  <c r="W15" i="38" s="1"/>
  <c r="W23" i="38" s="1"/>
  <c r="V11" i="38"/>
  <c r="V15" i="38" s="1"/>
  <c r="M11" i="38"/>
  <c r="M15" i="38" s="1"/>
  <c r="M23" i="38" s="1"/>
  <c r="L11" i="38"/>
  <c r="L15" i="38" s="1"/>
  <c r="L23" i="38" s="1"/>
  <c r="I11" i="38"/>
  <c r="I15" i="38" s="1"/>
  <c r="I23" i="38" s="1"/>
  <c r="E11" i="38"/>
  <c r="E15" i="38" s="1"/>
  <c r="B11" i="38"/>
  <c r="B15" i="38" s="1"/>
  <c r="B23" i="38" s="1"/>
  <c r="B42" i="38" s="1"/>
  <c r="U40" i="37"/>
  <c r="S40" i="37"/>
  <c r="P40" i="37"/>
  <c r="O40" i="37"/>
  <c r="M40" i="37"/>
  <c r="L40" i="37"/>
  <c r="K40" i="37"/>
  <c r="J40" i="37"/>
  <c r="I40" i="37"/>
  <c r="G40" i="37"/>
  <c r="F40" i="37"/>
  <c r="D40" i="37"/>
  <c r="Y39" i="37"/>
  <c r="H39" i="37"/>
  <c r="C39" i="37"/>
  <c r="B39" i="37"/>
  <c r="B40" i="37" s="1"/>
  <c r="Z38" i="37"/>
  <c r="Y38" i="37"/>
  <c r="H38" i="37"/>
  <c r="H40" i="37" s="1"/>
  <c r="V37" i="37"/>
  <c r="T37" i="37"/>
  <c r="T40" i="37" s="1"/>
  <c r="Q37" i="37"/>
  <c r="Q40" i="37" s="1"/>
  <c r="E37" i="37"/>
  <c r="C37" i="37"/>
  <c r="E36" i="37"/>
  <c r="E40" i="37" s="1"/>
  <c r="C36" i="37"/>
  <c r="Z33" i="37"/>
  <c r="X30" i="37"/>
  <c r="X33" i="37" s="1"/>
  <c r="W30" i="37"/>
  <c r="W33" i="37" s="1"/>
  <c r="V30" i="37"/>
  <c r="V33" i="37" s="1"/>
  <c r="T30" i="37"/>
  <c r="T33" i="37" s="1"/>
  <c r="T41" i="37" s="1"/>
  <c r="S30" i="37"/>
  <c r="S33" i="37" s="1"/>
  <c r="S41" i="37" s="1"/>
  <c r="R30" i="37"/>
  <c r="R33" i="37" s="1"/>
  <c r="M30" i="37"/>
  <c r="M33" i="37" s="1"/>
  <c r="M41" i="37" s="1"/>
  <c r="K30" i="37"/>
  <c r="K33" i="37" s="1"/>
  <c r="K41" i="37" s="1"/>
  <c r="J30" i="37"/>
  <c r="J33" i="37" s="1"/>
  <c r="J41" i="37" s="1"/>
  <c r="H30" i="37"/>
  <c r="H33" i="37" s="1"/>
  <c r="H41" i="37" s="1"/>
  <c r="F30" i="37"/>
  <c r="F33" i="37" s="1"/>
  <c r="F41" i="37" s="1"/>
  <c r="E30" i="37"/>
  <c r="E33" i="37" s="1"/>
  <c r="D30" i="37"/>
  <c r="D33" i="37" s="1"/>
  <c r="D41" i="37" s="1"/>
  <c r="C30" i="37"/>
  <c r="C33" i="37" s="1"/>
  <c r="G29" i="37"/>
  <c r="G30" i="37" s="1"/>
  <c r="G33" i="37" s="1"/>
  <c r="G41" i="37" s="1"/>
  <c r="B29" i="37"/>
  <c r="B30" i="37" s="1"/>
  <c r="B33" i="37" s="1"/>
  <c r="Y27" i="37"/>
  <c r="Y30" i="37" s="1"/>
  <c r="Y33" i="37" s="1"/>
  <c r="U27" i="37"/>
  <c r="U30" i="37" s="1"/>
  <c r="U33" i="37" s="1"/>
  <c r="U41" i="37" s="1"/>
  <c r="P27" i="37"/>
  <c r="O27" i="37"/>
  <c r="O30" i="37" s="1"/>
  <c r="O33" i="37" s="1"/>
  <c r="O41" i="37" s="1"/>
  <c r="L27" i="37"/>
  <c r="L30" i="37" s="1"/>
  <c r="L33" i="37" s="1"/>
  <c r="L41" i="37" s="1"/>
  <c r="I27" i="37"/>
  <c r="I30" i="37" s="1"/>
  <c r="I33" i="37" s="1"/>
  <c r="I41" i="37" s="1"/>
  <c r="Y22" i="37"/>
  <c r="X22" i="37"/>
  <c r="W22" i="37"/>
  <c r="T22" i="37"/>
  <c r="O22" i="37"/>
  <c r="L22" i="37"/>
  <c r="J22" i="37"/>
  <c r="K20" i="37"/>
  <c r="I20" i="37"/>
  <c r="G20" i="37"/>
  <c r="F20" i="37"/>
  <c r="E20" i="37"/>
  <c r="V19" i="37"/>
  <c r="V22" i="37" s="1"/>
  <c r="U19" i="37"/>
  <c r="S19" i="37"/>
  <c r="S22" i="37" s="1"/>
  <c r="R19" i="37"/>
  <c r="Q19" i="37"/>
  <c r="P19" i="37"/>
  <c r="M19" i="37"/>
  <c r="K19" i="37"/>
  <c r="I19" i="37"/>
  <c r="H19" i="37"/>
  <c r="G19" i="37"/>
  <c r="E19" i="37"/>
  <c r="D19" i="37"/>
  <c r="D22" i="37" s="1"/>
  <c r="C19" i="37"/>
  <c r="C22" i="37" s="1"/>
  <c r="B19" i="37"/>
  <c r="U18" i="37"/>
  <c r="U22" i="37" s="1"/>
  <c r="R18" i="37"/>
  <c r="Q18" i="37"/>
  <c r="P18" i="37"/>
  <c r="P22" i="37" s="1"/>
  <c r="M18" i="37"/>
  <c r="M22" i="37" s="1"/>
  <c r="K18" i="37"/>
  <c r="K22" i="37" s="1"/>
  <c r="I18" i="37"/>
  <c r="H18" i="37"/>
  <c r="H22" i="37" s="1"/>
  <c r="G18" i="37"/>
  <c r="F18" i="37"/>
  <c r="F22" i="37" s="1"/>
  <c r="E18" i="37"/>
  <c r="B18" i="37"/>
  <c r="B22" i="37" s="1"/>
  <c r="U15" i="37"/>
  <c r="U23" i="37" s="1"/>
  <c r="T15" i="37"/>
  <c r="T23" i="37" s="1"/>
  <c r="S15" i="37"/>
  <c r="R15" i="37"/>
  <c r="Q15" i="37"/>
  <c r="P15" i="37"/>
  <c r="O15" i="37"/>
  <c r="O23" i="37" s="1"/>
  <c r="K15" i="37"/>
  <c r="J15" i="37"/>
  <c r="H15" i="37"/>
  <c r="G15" i="37"/>
  <c r="F15" i="37"/>
  <c r="F23" i="37" s="1"/>
  <c r="D15" i="37"/>
  <c r="D23" i="37" s="1"/>
  <c r="D42" i="37" s="1"/>
  <c r="C15" i="37"/>
  <c r="X14" i="37"/>
  <c r="W14" i="37"/>
  <c r="V14" i="37"/>
  <c r="Y11" i="37"/>
  <c r="Y15" i="37" s="1"/>
  <c r="Y23" i="37" s="1"/>
  <c r="X11" i="37"/>
  <c r="W11" i="37"/>
  <c r="W15" i="37" s="1"/>
  <c r="W23" i="37" s="1"/>
  <c r="V11" i="37"/>
  <c r="V15" i="37" s="1"/>
  <c r="V23" i="37" s="1"/>
  <c r="M11" i="37"/>
  <c r="M15" i="37" s="1"/>
  <c r="M23" i="37" s="1"/>
  <c r="L11" i="37"/>
  <c r="L15" i="37" s="1"/>
  <c r="L23" i="37" s="1"/>
  <c r="L42" i="37" s="1"/>
  <c r="I11" i="37"/>
  <c r="I15" i="37" s="1"/>
  <c r="E11" i="37"/>
  <c r="E15" i="37" s="1"/>
  <c r="B11" i="37"/>
  <c r="B15" i="37" s="1"/>
  <c r="Z39" i="35"/>
  <c r="X15" i="37" l="1"/>
  <c r="X23" i="37" s="1"/>
  <c r="R22" i="37"/>
  <c r="P30" i="37"/>
  <c r="P33" i="37" s="1"/>
  <c r="P41" i="37" s="1"/>
  <c r="Q27" i="37"/>
  <c r="Q30" i="37" s="1"/>
  <c r="Q33" i="37" s="1"/>
  <c r="Q41" i="37" s="1"/>
  <c r="V40" i="37"/>
  <c r="V41" i="37" s="1"/>
  <c r="V43" i="37" s="1"/>
  <c r="W37" i="37"/>
  <c r="W40" i="37" s="1"/>
  <c r="P22" i="38"/>
  <c r="Q22" i="38"/>
  <c r="E22" i="38"/>
  <c r="G22" i="38"/>
  <c r="Q27" i="38"/>
  <c r="Q30" i="38" s="1"/>
  <c r="Q33" i="38" s="1"/>
  <c r="P30" i="38"/>
  <c r="P33" i="38" s="1"/>
  <c r="P41" i="38" s="1"/>
  <c r="Z23" i="38"/>
  <c r="D213" i="39"/>
  <c r="D16" i="39"/>
  <c r="E16" i="39" s="1"/>
  <c r="D178" i="39" s="1"/>
  <c r="Y14" i="37"/>
  <c r="B41" i="37"/>
  <c r="R23" i="37"/>
  <c r="E22" i="37"/>
  <c r="Q22" i="37"/>
  <c r="Q23" i="37"/>
  <c r="Q43" i="37" s="1"/>
  <c r="E23" i="37"/>
  <c r="E41" i="37"/>
  <c r="J23" i="37"/>
  <c r="J43" i="37" s="1"/>
  <c r="I22" i="37"/>
  <c r="I23" i="37" s="1"/>
  <c r="I43" i="37" s="1"/>
  <c r="G22" i="37"/>
  <c r="G23" i="37" s="1"/>
  <c r="G45" i="37" s="1"/>
  <c r="C40" i="37"/>
  <c r="C41" i="37" s="1"/>
  <c r="X37" i="37"/>
  <c r="Y37" i="37" s="1"/>
  <c r="Y40" i="37" s="1"/>
  <c r="Y41" i="37" s="1"/>
  <c r="Y43" i="37" s="1"/>
  <c r="O43" i="37"/>
  <c r="D16" i="36"/>
  <c r="K43" i="38"/>
  <c r="I43" i="38"/>
  <c r="C23" i="38"/>
  <c r="C42" i="38" s="1"/>
  <c r="L42" i="38"/>
  <c r="X37" i="38"/>
  <c r="W40" i="38"/>
  <c r="W41" i="38" s="1"/>
  <c r="W43" i="38" s="1"/>
  <c r="E23" i="38"/>
  <c r="E42" i="38" s="1"/>
  <c r="Q41" i="38"/>
  <c r="F23" i="38"/>
  <c r="F42" i="38" s="1"/>
  <c r="P23" i="38"/>
  <c r="P43" i="38" s="1"/>
  <c r="U43" i="38"/>
  <c r="V23" i="38"/>
  <c r="O43" i="38"/>
  <c r="G23" i="38"/>
  <c r="G45" i="38" s="1"/>
  <c r="Q23" i="38"/>
  <c r="H41" i="38"/>
  <c r="H43" i="38" s="1"/>
  <c r="S43" i="38"/>
  <c r="R23" i="38"/>
  <c r="T43" i="38"/>
  <c r="V40" i="38"/>
  <c r="V41" i="38" s="1"/>
  <c r="V43" i="38" s="1"/>
  <c r="R37" i="38"/>
  <c r="R40" i="38" s="1"/>
  <c r="R41" i="38" s="1"/>
  <c r="R43" i="38" s="1"/>
  <c r="H23" i="37"/>
  <c r="H43" i="37" s="1"/>
  <c r="K23" i="37"/>
  <c r="K43" i="37" s="1"/>
  <c r="U43" i="37"/>
  <c r="Z37" i="37"/>
  <c r="C23" i="37"/>
  <c r="P23" i="37"/>
  <c r="P43" i="37" s="1"/>
  <c r="T43" i="37"/>
  <c r="F42" i="37"/>
  <c r="W41" i="37"/>
  <c r="W43" i="37" s="1"/>
  <c r="B23" i="37"/>
  <c r="B42" i="37" s="1"/>
  <c r="S23" i="37"/>
  <c r="S43" i="37" s="1"/>
  <c r="R37" i="37"/>
  <c r="R40" i="37" s="1"/>
  <c r="R41" i="37" s="1"/>
  <c r="R43" i="37" s="1"/>
  <c r="D120" i="34"/>
  <c r="D103" i="34"/>
  <c r="D49" i="34"/>
  <c r="D148" i="34"/>
  <c r="D146" i="34"/>
  <c r="D145" i="34"/>
  <c r="D111" i="34"/>
  <c r="D93" i="34"/>
  <c r="D54" i="34"/>
  <c r="D42" i="34"/>
  <c r="D41" i="34"/>
  <c r="D40" i="34"/>
  <c r="D18" i="34"/>
  <c r="Z40" i="37" l="1"/>
  <c r="Z41" i="37" s="1"/>
  <c r="E42" i="37"/>
  <c r="E178" i="39"/>
  <c r="C42" i="37"/>
  <c r="X40" i="37"/>
  <c r="X41" i="37" s="1"/>
  <c r="X43" i="37" s="1"/>
  <c r="X40" i="38"/>
  <c r="X41" i="38" s="1"/>
  <c r="X43" i="38" s="1"/>
  <c r="Y37" i="38"/>
  <c r="Q43" i="38"/>
  <c r="E173" i="36"/>
  <c r="E176" i="36" s="1"/>
  <c r="E15" i="36"/>
  <c r="U40" i="35"/>
  <c r="S40" i="35"/>
  <c r="P40" i="35"/>
  <c r="O40" i="35"/>
  <c r="M40" i="35"/>
  <c r="L40" i="35"/>
  <c r="K40" i="35"/>
  <c r="J40" i="35"/>
  <c r="I40" i="35"/>
  <c r="G40" i="35"/>
  <c r="F40" i="35"/>
  <c r="D40" i="35"/>
  <c r="Y39" i="35"/>
  <c r="H39" i="35"/>
  <c r="C39" i="35"/>
  <c r="B39" i="35"/>
  <c r="B40" i="35" s="1"/>
  <c r="Z38" i="35"/>
  <c r="Y38" i="35"/>
  <c r="H38" i="35"/>
  <c r="V37" i="35"/>
  <c r="T37" i="35"/>
  <c r="T40" i="35" s="1"/>
  <c r="Q37" i="35"/>
  <c r="E37" i="35"/>
  <c r="C37" i="35"/>
  <c r="E36" i="35"/>
  <c r="E40" i="35" s="1"/>
  <c r="C36" i="35"/>
  <c r="C40" i="35" s="1"/>
  <c r="Z30" i="35"/>
  <c r="Z33" i="35" s="1"/>
  <c r="X30" i="35"/>
  <c r="X33" i="35" s="1"/>
  <c r="W30" i="35"/>
  <c r="W33" i="35" s="1"/>
  <c r="V30" i="35"/>
  <c r="V33" i="35" s="1"/>
  <c r="T30" i="35"/>
  <c r="T33" i="35" s="1"/>
  <c r="T41" i="35" s="1"/>
  <c r="S30" i="35"/>
  <c r="S33" i="35" s="1"/>
  <c r="S41" i="35" s="1"/>
  <c r="R30" i="35"/>
  <c r="R33" i="35" s="1"/>
  <c r="M30" i="35"/>
  <c r="M33" i="35" s="1"/>
  <c r="M41" i="35" s="1"/>
  <c r="K30" i="35"/>
  <c r="K33" i="35" s="1"/>
  <c r="K41" i="35" s="1"/>
  <c r="J30" i="35"/>
  <c r="J33" i="35" s="1"/>
  <c r="J41" i="35" s="1"/>
  <c r="H30" i="35"/>
  <c r="H33" i="35" s="1"/>
  <c r="F30" i="35"/>
  <c r="F33" i="35" s="1"/>
  <c r="F41" i="35" s="1"/>
  <c r="E30" i="35"/>
  <c r="E33" i="35" s="1"/>
  <c r="D30" i="35"/>
  <c r="D33" i="35" s="1"/>
  <c r="D41" i="35" s="1"/>
  <c r="C30" i="35"/>
  <c r="C33" i="35" s="1"/>
  <c r="C41" i="35" s="1"/>
  <c r="G29" i="35"/>
  <c r="G30" i="35" s="1"/>
  <c r="G33" i="35" s="1"/>
  <c r="G41" i="35" s="1"/>
  <c r="B29" i="35"/>
  <c r="B30" i="35" s="1"/>
  <c r="B33" i="35" s="1"/>
  <c r="B41" i="35" s="1"/>
  <c r="Y27" i="35"/>
  <c r="Y30" i="35" s="1"/>
  <c r="Y33" i="35" s="1"/>
  <c r="U27" i="35"/>
  <c r="U30" i="35" s="1"/>
  <c r="U33" i="35" s="1"/>
  <c r="U41" i="35" s="1"/>
  <c r="P27" i="35"/>
  <c r="P30" i="35" s="1"/>
  <c r="P33" i="35" s="1"/>
  <c r="P41" i="35" s="1"/>
  <c r="O27" i="35"/>
  <c r="O30" i="35" s="1"/>
  <c r="O33" i="35" s="1"/>
  <c r="O41" i="35" s="1"/>
  <c r="L27" i="35"/>
  <c r="L30" i="35" s="1"/>
  <c r="L33" i="35" s="1"/>
  <c r="L41" i="35" s="1"/>
  <c r="I27" i="35"/>
  <c r="I30" i="35" s="1"/>
  <c r="I33" i="35" s="1"/>
  <c r="I41" i="35" s="1"/>
  <c r="Z22" i="35"/>
  <c r="Y22" i="35"/>
  <c r="X22" i="35"/>
  <c r="W22" i="35"/>
  <c r="T22" i="35"/>
  <c r="O22" i="35"/>
  <c r="L22" i="35"/>
  <c r="J22" i="35"/>
  <c r="K20" i="35"/>
  <c r="I20" i="35"/>
  <c r="G20" i="35"/>
  <c r="F20" i="35"/>
  <c r="E20" i="35"/>
  <c r="V19" i="35"/>
  <c r="V22" i="35" s="1"/>
  <c r="U19" i="35"/>
  <c r="S19" i="35"/>
  <c r="S22" i="35" s="1"/>
  <c r="R19" i="35"/>
  <c r="Q19" i="35"/>
  <c r="P19" i="35"/>
  <c r="M19" i="35"/>
  <c r="K19" i="35"/>
  <c r="I19" i="35"/>
  <c r="H19" i="35"/>
  <c r="G19" i="35"/>
  <c r="E19" i="35"/>
  <c r="D19" i="35"/>
  <c r="D22" i="35" s="1"/>
  <c r="C19" i="35"/>
  <c r="C22" i="35" s="1"/>
  <c r="B19" i="35"/>
  <c r="U18" i="35"/>
  <c r="R18" i="35"/>
  <c r="R22" i="35" s="1"/>
  <c r="Q18" i="35"/>
  <c r="Q22" i="35" s="1"/>
  <c r="P18" i="35"/>
  <c r="P22" i="35" s="1"/>
  <c r="M18" i="35"/>
  <c r="M22" i="35" s="1"/>
  <c r="K18" i="35"/>
  <c r="K22" i="35" s="1"/>
  <c r="I18" i="35"/>
  <c r="H18" i="35"/>
  <c r="H22" i="35" s="1"/>
  <c r="G18" i="35"/>
  <c r="G22" i="35" s="1"/>
  <c r="F18" i="35"/>
  <c r="F22" i="35" s="1"/>
  <c r="E18" i="35"/>
  <c r="E22" i="35" s="1"/>
  <c r="B18" i="35"/>
  <c r="B22" i="35" s="1"/>
  <c r="Z15" i="35"/>
  <c r="U15" i="35"/>
  <c r="T15" i="35"/>
  <c r="T23" i="35" s="1"/>
  <c r="S15" i="35"/>
  <c r="S23" i="35" s="1"/>
  <c r="R15" i="35"/>
  <c r="R23" i="35" s="1"/>
  <c r="Q15" i="35"/>
  <c r="Q23" i="35" s="1"/>
  <c r="P15" i="35"/>
  <c r="P23" i="35" s="1"/>
  <c r="O15" i="35"/>
  <c r="O23" i="35" s="1"/>
  <c r="O43" i="35" s="1"/>
  <c r="K15" i="35"/>
  <c r="K23" i="35" s="1"/>
  <c r="J15" i="35"/>
  <c r="J23" i="35" s="1"/>
  <c r="J43" i="35" s="1"/>
  <c r="H15" i="35"/>
  <c r="G15" i="35"/>
  <c r="F15" i="35"/>
  <c r="F23" i="35" s="1"/>
  <c r="D15" i="35"/>
  <c r="D23" i="35" s="1"/>
  <c r="D42" i="35" s="1"/>
  <c r="C15" i="35"/>
  <c r="C23" i="35" s="1"/>
  <c r="X14" i="35"/>
  <c r="Y14" i="35" s="1"/>
  <c r="W14" i="35"/>
  <c r="V14" i="35"/>
  <c r="Y11" i="35"/>
  <c r="Y15" i="35" s="1"/>
  <c r="Y23" i="35" s="1"/>
  <c r="X11" i="35"/>
  <c r="X15" i="35" s="1"/>
  <c r="X23" i="35" s="1"/>
  <c r="W11" i="35"/>
  <c r="W15" i="35" s="1"/>
  <c r="W23" i="35" s="1"/>
  <c r="V11" i="35"/>
  <c r="V15" i="35" s="1"/>
  <c r="V23" i="35" s="1"/>
  <c r="M11" i="35"/>
  <c r="M15" i="35" s="1"/>
  <c r="M23" i="35" s="1"/>
  <c r="L11" i="35"/>
  <c r="L15" i="35" s="1"/>
  <c r="L23" i="35" s="1"/>
  <c r="L42" i="35" s="1"/>
  <c r="I11" i="35"/>
  <c r="I15" i="35" s="1"/>
  <c r="E11" i="35"/>
  <c r="E15" i="35" s="1"/>
  <c r="E23" i="35" s="1"/>
  <c r="B11" i="35"/>
  <c r="B15" i="35" s="1"/>
  <c r="B23" i="35" s="1"/>
  <c r="D210" i="34"/>
  <c r="D186" i="34"/>
  <c r="E173" i="34"/>
  <c r="E176" i="34" s="1"/>
  <c r="D156" i="34"/>
  <c r="D102" i="34"/>
  <c r="D43" i="34"/>
  <c r="D17" i="34"/>
  <c r="D16" i="34" s="1"/>
  <c r="E15" i="34"/>
  <c r="Z39" i="33"/>
  <c r="D153" i="32"/>
  <c r="D147" i="32"/>
  <c r="D145" i="32"/>
  <c r="D144" i="32"/>
  <c r="D119" i="32"/>
  <c r="D102" i="32"/>
  <c r="D93" i="32"/>
  <c r="D54" i="32"/>
  <c r="D50" i="32"/>
  <c r="D49" i="32"/>
  <c r="Z38" i="33"/>
  <c r="E15" i="32"/>
  <c r="I22" i="35" l="1"/>
  <c r="I23" i="35" s="1"/>
  <c r="U22" i="35"/>
  <c r="U23" i="35" s="1"/>
  <c r="I43" i="35"/>
  <c r="P43" i="35"/>
  <c r="Q40" i="35"/>
  <c r="R37" i="35"/>
  <c r="R40" i="35" s="1"/>
  <c r="V40" i="35"/>
  <c r="W37" i="35"/>
  <c r="X37" i="35" s="1"/>
  <c r="H40" i="35"/>
  <c r="D210" i="36"/>
  <c r="E16" i="36"/>
  <c r="Y40" i="38"/>
  <c r="Y41" i="38" s="1"/>
  <c r="Y43" i="38" s="1"/>
  <c r="Z37" i="38"/>
  <c r="Z40" i="38" s="1"/>
  <c r="Z41" i="38" s="1"/>
  <c r="AB41" i="38" s="1"/>
  <c r="Z23" i="35"/>
  <c r="E16" i="34"/>
  <c r="D213" i="34"/>
  <c r="C42" i="35"/>
  <c r="K43" i="35"/>
  <c r="R41" i="35"/>
  <c r="R43" i="35" s="1"/>
  <c r="E41" i="35"/>
  <c r="E42" i="35" s="1"/>
  <c r="S43" i="35"/>
  <c r="X40" i="35"/>
  <c r="X41" i="35" s="1"/>
  <c r="X43" i="35" s="1"/>
  <c r="Y37" i="35"/>
  <c r="F42" i="35"/>
  <c r="U43" i="35"/>
  <c r="B42" i="35"/>
  <c r="G23" i="35"/>
  <c r="G45" i="35" s="1"/>
  <c r="H41" i="35"/>
  <c r="V41" i="35"/>
  <c r="V43" i="35" s="1"/>
  <c r="T43" i="35"/>
  <c r="H23" i="35"/>
  <c r="Q27" i="35"/>
  <c r="Q30" i="35" s="1"/>
  <c r="Q33" i="35" s="1"/>
  <c r="Q41" i="35" s="1"/>
  <c r="Q43" i="35" s="1"/>
  <c r="W40" i="35"/>
  <c r="W41" i="35" s="1"/>
  <c r="W43" i="35" s="1"/>
  <c r="D113" i="32"/>
  <c r="D101" i="32" s="1"/>
  <c r="D99" i="32"/>
  <c r="D42" i="32"/>
  <c r="D41" i="32"/>
  <c r="D40" i="32"/>
  <c r="D18" i="32"/>
  <c r="D209" i="32"/>
  <c r="D185" i="32"/>
  <c r="D212" i="32" s="1"/>
  <c r="D43" i="32"/>
  <c r="D155" i="32"/>
  <c r="E15" i="31"/>
  <c r="U40" i="33"/>
  <c r="S40" i="33"/>
  <c r="P40" i="33"/>
  <c r="O40" i="33"/>
  <c r="M40" i="33"/>
  <c r="L40" i="33"/>
  <c r="K40" i="33"/>
  <c r="J40" i="33"/>
  <c r="I40" i="33"/>
  <c r="G40" i="33"/>
  <c r="F40" i="33"/>
  <c r="D40" i="33"/>
  <c r="Y39" i="33"/>
  <c r="H39" i="33"/>
  <c r="C39" i="33"/>
  <c r="B39" i="33"/>
  <c r="B40" i="33" s="1"/>
  <c r="Y38" i="33"/>
  <c r="H38" i="33"/>
  <c r="V37" i="33"/>
  <c r="W37" i="33" s="1"/>
  <c r="T37" i="33"/>
  <c r="T40" i="33" s="1"/>
  <c r="Q37" i="33"/>
  <c r="E37" i="33"/>
  <c r="C37" i="33"/>
  <c r="E36" i="33"/>
  <c r="C36" i="33"/>
  <c r="Z30" i="33"/>
  <c r="Z33" i="33" s="1"/>
  <c r="X30" i="33"/>
  <c r="X33" i="33" s="1"/>
  <c r="W30" i="33"/>
  <c r="W33" i="33" s="1"/>
  <c r="V30" i="33"/>
  <c r="V33" i="33" s="1"/>
  <c r="T30" i="33"/>
  <c r="T33" i="33" s="1"/>
  <c r="S30" i="33"/>
  <c r="S33" i="33" s="1"/>
  <c r="S41" i="33" s="1"/>
  <c r="R30" i="33"/>
  <c r="R33" i="33" s="1"/>
  <c r="M30" i="33"/>
  <c r="M33" i="33" s="1"/>
  <c r="M41" i="33" s="1"/>
  <c r="K30" i="33"/>
  <c r="K33" i="33" s="1"/>
  <c r="K41" i="33" s="1"/>
  <c r="J30" i="33"/>
  <c r="J33" i="33" s="1"/>
  <c r="H30" i="33"/>
  <c r="H33" i="33" s="1"/>
  <c r="F30" i="33"/>
  <c r="F33" i="33" s="1"/>
  <c r="F41" i="33" s="1"/>
  <c r="E30" i="33"/>
  <c r="E33" i="33" s="1"/>
  <c r="D30" i="33"/>
  <c r="D33" i="33" s="1"/>
  <c r="D41" i="33" s="1"/>
  <c r="C30" i="33"/>
  <c r="C33" i="33" s="1"/>
  <c r="G29" i="33"/>
  <c r="G30" i="33" s="1"/>
  <c r="G33" i="33" s="1"/>
  <c r="G41" i="33" s="1"/>
  <c r="B29" i="33"/>
  <c r="B30" i="33" s="1"/>
  <c r="B33" i="33" s="1"/>
  <c r="B41" i="33" s="1"/>
  <c r="Y27" i="33"/>
  <c r="Y30" i="33" s="1"/>
  <c r="Y33" i="33" s="1"/>
  <c r="U27" i="33"/>
  <c r="U30" i="33" s="1"/>
  <c r="U33" i="33" s="1"/>
  <c r="U41" i="33" s="1"/>
  <c r="P27" i="33"/>
  <c r="P30" i="33" s="1"/>
  <c r="P33" i="33" s="1"/>
  <c r="P41" i="33" s="1"/>
  <c r="O27" i="33"/>
  <c r="O30" i="33" s="1"/>
  <c r="O33" i="33" s="1"/>
  <c r="O41" i="33" s="1"/>
  <c r="L27" i="33"/>
  <c r="L30" i="33" s="1"/>
  <c r="L33" i="33" s="1"/>
  <c r="L41" i="33" s="1"/>
  <c r="I27" i="33"/>
  <c r="I30" i="33" s="1"/>
  <c r="I33" i="33" s="1"/>
  <c r="I41" i="33" s="1"/>
  <c r="Z22" i="33"/>
  <c r="Y22" i="33"/>
  <c r="X22" i="33"/>
  <c r="W22" i="33"/>
  <c r="T22" i="33"/>
  <c r="O22" i="33"/>
  <c r="L22" i="33"/>
  <c r="J22" i="33"/>
  <c r="K20" i="33"/>
  <c r="I20" i="33"/>
  <c r="G20" i="33"/>
  <c r="F20" i="33"/>
  <c r="E20" i="33"/>
  <c r="V19" i="33"/>
  <c r="V22" i="33" s="1"/>
  <c r="U19" i="33"/>
  <c r="S19" i="33"/>
  <c r="S22" i="33" s="1"/>
  <c r="R19" i="33"/>
  <c r="Q19" i="33"/>
  <c r="P19" i="33"/>
  <c r="M19" i="33"/>
  <c r="K19" i="33"/>
  <c r="I19" i="33"/>
  <c r="H19" i="33"/>
  <c r="G19" i="33"/>
  <c r="E19" i="33"/>
  <c r="D19" i="33"/>
  <c r="D22" i="33" s="1"/>
  <c r="C19" i="33"/>
  <c r="C22" i="33" s="1"/>
  <c r="B19" i="33"/>
  <c r="U18" i="33"/>
  <c r="U22" i="33" s="1"/>
  <c r="R18" i="33"/>
  <c r="R22" i="33" s="1"/>
  <c r="Q18" i="33"/>
  <c r="P18" i="33"/>
  <c r="P22" i="33" s="1"/>
  <c r="M18" i="33"/>
  <c r="K18" i="33"/>
  <c r="I18" i="33"/>
  <c r="H18" i="33"/>
  <c r="G18" i="33"/>
  <c r="G22" i="33" s="1"/>
  <c r="F18" i="33"/>
  <c r="E18" i="33"/>
  <c r="B18" i="33"/>
  <c r="Z15" i="33"/>
  <c r="U15" i="33"/>
  <c r="T15" i="33"/>
  <c r="T23" i="33" s="1"/>
  <c r="S15" i="33"/>
  <c r="R15" i="33"/>
  <c r="Q15" i="33"/>
  <c r="P15" i="33"/>
  <c r="O15" i="33"/>
  <c r="O23" i="33" s="1"/>
  <c r="O43" i="33" s="1"/>
  <c r="K15" i="33"/>
  <c r="J15" i="33"/>
  <c r="J23" i="33" s="1"/>
  <c r="H15" i="33"/>
  <c r="G15" i="33"/>
  <c r="F15" i="33"/>
  <c r="D15" i="33"/>
  <c r="D23" i="33" s="1"/>
  <c r="D42" i="33" s="1"/>
  <c r="C15" i="33"/>
  <c r="C23" i="33" s="1"/>
  <c r="X14" i="33"/>
  <c r="Y14" i="33" s="1"/>
  <c r="W14" i="33"/>
  <c r="V14" i="33"/>
  <c r="Y11" i="33"/>
  <c r="Y15" i="33" s="1"/>
  <c r="Y23" i="33" s="1"/>
  <c r="X11" i="33"/>
  <c r="X15" i="33" s="1"/>
  <c r="W11" i="33"/>
  <c r="W15" i="33" s="1"/>
  <c r="W23" i="33" s="1"/>
  <c r="V11" i="33"/>
  <c r="V15" i="33" s="1"/>
  <c r="M11" i="33"/>
  <c r="M15" i="33" s="1"/>
  <c r="L11" i="33"/>
  <c r="L15" i="33" s="1"/>
  <c r="L23" i="33" s="1"/>
  <c r="L42" i="33" s="1"/>
  <c r="I11" i="33"/>
  <c r="I15" i="33" s="1"/>
  <c r="E11" i="33"/>
  <c r="E15" i="33" s="1"/>
  <c r="B11" i="33"/>
  <c r="B15" i="33" s="1"/>
  <c r="E172" i="32"/>
  <c r="E175" i="32" s="1"/>
  <c r="Z39" i="30"/>
  <c r="H22" i="33" l="1"/>
  <c r="M22" i="33"/>
  <c r="M23" i="33" s="1"/>
  <c r="Q40" i="33"/>
  <c r="R37" i="33"/>
  <c r="R40" i="33" s="1"/>
  <c r="D17" i="32"/>
  <c r="E178" i="34"/>
  <c r="D178" i="34"/>
  <c r="H40" i="33"/>
  <c r="H41" i="33" s="1"/>
  <c r="E178" i="36"/>
  <c r="D178" i="36"/>
  <c r="H43" i="35"/>
  <c r="Y40" i="35"/>
  <c r="Y41" i="35" s="1"/>
  <c r="Y43" i="35" s="1"/>
  <c r="Z37" i="35"/>
  <c r="S23" i="33"/>
  <c r="F22" i="33"/>
  <c r="I22" i="33"/>
  <c r="J41" i="33"/>
  <c r="J43" i="33" s="1"/>
  <c r="E22" i="33"/>
  <c r="U23" i="33"/>
  <c r="U43" i="33" s="1"/>
  <c r="X23" i="33"/>
  <c r="K22" i="33"/>
  <c r="K23" i="33" s="1"/>
  <c r="K43" i="33" s="1"/>
  <c r="Q22" i="33"/>
  <c r="Q23" i="33" s="1"/>
  <c r="P23" i="33"/>
  <c r="E40" i="33"/>
  <c r="E41" i="33" s="1"/>
  <c r="H23" i="33"/>
  <c r="B22" i="33"/>
  <c r="B23" i="33" s="1"/>
  <c r="T41" i="33"/>
  <c r="C40" i="33"/>
  <c r="C41" i="33" s="1"/>
  <c r="C42" i="33" s="1"/>
  <c r="Z23" i="33"/>
  <c r="E23" i="33"/>
  <c r="V23" i="33"/>
  <c r="X37" i="33"/>
  <c r="W40" i="33"/>
  <c r="W41" i="33" s="1"/>
  <c r="W43" i="33" s="1"/>
  <c r="F23" i="33"/>
  <c r="F42" i="33" s="1"/>
  <c r="R41" i="33"/>
  <c r="B42" i="33"/>
  <c r="G23" i="33"/>
  <c r="G45" i="33" s="1"/>
  <c r="P43" i="33"/>
  <c r="S43" i="33"/>
  <c r="T43" i="33"/>
  <c r="I23" i="33"/>
  <c r="I43" i="33" s="1"/>
  <c r="R23" i="33"/>
  <c r="Q27" i="33"/>
  <c r="Q30" i="33" s="1"/>
  <c r="Q33" i="33" s="1"/>
  <c r="Q41" i="33" s="1"/>
  <c r="V40" i="33"/>
  <c r="V41" i="33" s="1"/>
  <c r="V43" i="33" s="1"/>
  <c r="D151" i="31"/>
  <c r="D148" i="31"/>
  <c r="D144" i="31"/>
  <c r="D129" i="31"/>
  <c r="D110" i="31"/>
  <c r="D99" i="31"/>
  <c r="D78" i="31"/>
  <c r="D54" i="31"/>
  <c r="D51" i="31"/>
  <c r="D42" i="31"/>
  <c r="D41" i="31"/>
  <c r="D40" i="31"/>
  <c r="D18" i="31"/>
  <c r="D50" i="31"/>
  <c r="D185" i="31"/>
  <c r="E172" i="31"/>
  <c r="E175" i="31" s="1"/>
  <c r="U40" i="30"/>
  <c r="S40" i="30"/>
  <c r="P40" i="30"/>
  <c r="O40" i="30"/>
  <c r="M40" i="30"/>
  <c r="L40" i="30"/>
  <c r="K40" i="30"/>
  <c r="J40" i="30"/>
  <c r="I40" i="30"/>
  <c r="G40" i="30"/>
  <c r="F40" i="30"/>
  <c r="D40" i="30"/>
  <c r="Y39" i="30"/>
  <c r="H39" i="30"/>
  <c r="C39" i="30"/>
  <c r="B39" i="30"/>
  <c r="B40" i="30" s="1"/>
  <c r="Z38" i="30"/>
  <c r="Y38" i="30"/>
  <c r="H38" i="30"/>
  <c r="H40" i="30" s="1"/>
  <c r="V37" i="30"/>
  <c r="W37" i="30" s="1"/>
  <c r="T37" i="30"/>
  <c r="T40" i="30" s="1"/>
  <c r="Q37" i="30"/>
  <c r="Q40" i="30" s="1"/>
  <c r="E37" i="30"/>
  <c r="C37" i="30"/>
  <c r="E36" i="30"/>
  <c r="E40" i="30" s="1"/>
  <c r="C36" i="30"/>
  <c r="C40" i="30" s="1"/>
  <c r="Z30" i="30"/>
  <c r="Z33" i="30" s="1"/>
  <c r="X30" i="30"/>
  <c r="X33" i="30" s="1"/>
  <c r="W30" i="30"/>
  <c r="W33" i="30" s="1"/>
  <c r="V30" i="30"/>
  <c r="V33" i="30" s="1"/>
  <c r="T30" i="30"/>
  <c r="T33" i="30" s="1"/>
  <c r="S30" i="30"/>
  <c r="S33" i="30" s="1"/>
  <c r="S41" i="30" s="1"/>
  <c r="R30" i="30"/>
  <c r="R33" i="30" s="1"/>
  <c r="M30" i="30"/>
  <c r="M33" i="30" s="1"/>
  <c r="M41" i="30" s="1"/>
  <c r="K30" i="30"/>
  <c r="K33" i="30" s="1"/>
  <c r="K41" i="30" s="1"/>
  <c r="J30" i="30"/>
  <c r="J33" i="30" s="1"/>
  <c r="J41" i="30" s="1"/>
  <c r="H30" i="30"/>
  <c r="H33" i="30" s="1"/>
  <c r="F30" i="30"/>
  <c r="F33" i="30" s="1"/>
  <c r="F41" i="30" s="1"/>
  <c r="E30" i="30"/>
  <c r="E33" i="30" s="1"/>
  <c r="E41" i="30" s="1"/>
  <c r="D30" i="30"/>
  <c r="D33" i="30" s="1"/>
  <c r="D41" i="30" s="1"/>
  <c r="C30" i="30"/>
  <c r="C33" i="30" s="1"/>
  <c r="C41" i="30" s="1"/>
  <c r="G29" i="30"/>
  <c r="G30" i="30" s="1"/>
  <c r="G33" i="30" s="1"/>
  <c r="G41" i="30" s="1"/>
  <c r="B29" i="30"/>
  <c r="B30" i="30" s="1"/>
  <c r="B33" i="30" s="1"/>
  <c r="B41" i="30" s="1"/>
  <c r="Y27" i="30"/>
  <c r="Y30" i="30" s="1"/>
  <c r="Y33" i="30" s="1"/>
  <c r="U27" i="30"/>
  <c r="U30" i="30" s="1"/>
  <c r="U33" i="30" s="1"/>
  <c r="U41" i="30" s="1"/>
  <c r="P27" i="30"/>
  <c r="O27" i="30"/>
  <c r="O30" i="30" s="1"/>
  <c r="O33" i="30" s="1"/>
  <c r="O41" i="30" s="1"/>
  <c r="L27" i="30"/>
  <c r="L30" i="30" s="1"/>
  <c r="L33" i="30" s="1"/>
  <c r="L41" i="30" s="1"/>
  <c r="I27" i="30"/>
  <c r="I30" i="30" s="1"/>
  <c r="I33" i="30" s="1"/>
  <c r="I41" i="30" s="1"/>
  <c r="Z22" i="30"/>
  <c r="Y22" i="30"/>
  <c r="X22" i="30"/>
  <c r="W22" i="30"/>
  <c r="T22" i="30"/>
  <c r="O22" i="30"/>
  <c r="L22" i="30"/>
  <c r="J22" i="30"/>
  <c r="K20" i="30"/>
  <c r="I20" i="30"/>
  <c r="G20" i="30"/>
  <c r="F20" i="30"/>
  <c r="E20" i="30"/>
  <c r="V19" i="30"/>
  <c r="V22" i="30" s="1"/>
  <c r="U19" i="30"/>
  <c r="S19" i="30"/>
  <c r="S22" i="30" s="1"/>
  <c r="R19" i="30"/>
  <c r="Q19" i="30"/>
  <c r="P19" i="30"/>
  <c r="M19" i="30"/>
  <c r="K19" i="30"/>
  <c r="I19" i="30"/>
  <c r="H19" i="30"/>
  <c r="G19" i="30"/>
  <c r="E19" i="30"/>
  <c r="D19" i="30"/>
  <c r="D22" i="30" s="1"/>
  <c r="C19" i="30"/>
  <c r="C22" i="30" s="1"/>
  <c r="B19" i="30"/>
  <c r="U18" i="30"/>
  <c r="U22" i="30" s="1"/>
  <c r="R18" i="30"/>
  <c r="R22" i="30" s="1"/>
  <c r="Q18" i="30"/>
  <c r="Q22" i="30" s="1"/>
  <c r="P18" i="30"/>
  <c r="P22" i="30" s="1"/>
  <c r="M18" i="30"/>
  <c r="M22" i="30" s="1"/>
  <c r="K18" i="30"/>
  <c r="K22" i="30" s="1"/>
  <c r="I18" i="30"/>
  <c r="I22" i="30" s="1"/>
  <c r="H18" i="30"/>
  <c r="H22" i="30" s="1"/>
  <c r="G18" i="30"/>
  <c r="G22" i="30" s="1"/>
  <c r="F18" i="30"/>
  <c r="F22" i="30" s="1"/>
  <c r="E18" i="30"/>
  <c r="E22" i="30" s="1"/>
  <c r="B18" i="30"/>
  <c r="B22" i="30" s="1"/>
  <c r="Z15" i="30"/>
  <c r="U15" i="30"/>
  <c r="T15" i="30"/>
  <c r="T23" i="30" s="1"/>
  <c r="S15" i="30"/>
  <c r="R15" i="30"/>
  <c r="Q15" i="30"/>
  <c r="Q23" i="30" s="1"/>
  <c r="P15" i="30"/>
  <c r="P23" i="30" s="1"/>
  <c r="O15" i="30"/>
  <c r="O23" i="30" s="1"/>
  <c r="K15" i="30"/>
  <c r="K23" i="30" s="1"/>
  <c r="J15" i="30"/>
  <c r="J23" i="30" s="1"/>
  <c r="H15" i="30"/>
  <c r="H23" i="30" s="1"/>
  <c r="G15" i="30"/>
  <c r="G23" i="30" s="1"/>
  <c r="F15" i="30"/>
  <c r="D15" i="30"/>
  <c r="D23" i="30" s="1"/>
  <c r="D42" i="30" s="1"/>
  <c r="C15" i="30"/>
  <c r="C23" i="30" s="1"/>
  <c r="C42" i="30" s="1"/>
  <c r="X14" i="30"/>
  <c r="Y14" i="30" s="1"/>
  <c r="W14" i="30"/>
  <c r="V14" i="30"/>
  <c r="Y11" i="30"/>
  <c r="Y15" i="30" s="1"/>
  <c r="Y23" i="30" s="1"/>
  <c r="X11" i="30"/>
  <c r="X15" i="30" s="1"/>
  <c r="X23" i="30" s="1"/>
  <c r="W11" i="30"/>
  <c r="W15" i="30" s="1"/>
  <c r="W23" i="30" s="1"/>
  <c r="V11" i="30"/>
  <c r="V15" i="30" s="1"/>
  <c r="V23" i="30" s="1"/>
  <c r="M11" i="30"/>
  <c r="M15" i="30" s="1"/>
  <c r="M23" i="30" s="1"/>
  <c r="L11" i="30"/>
  <c r="L15" i="30" s="1"/>
  <c r="L23" i="30" s="1"/>
  <c r="I11" i="30"/>
  <c r="I15" i="30" s="1"/>
  <c r="I23" i="30" s="1"/>
  <c r="E11" i="30"/>
  <c r="E15" i="30" s="1"/>
  <c r="B11" i="30"/>
  <c r="B15" i="30" s="1"/>
  <c r="Z39" i="29"/>
  <c r="Z30" i="29"/>
  <c r="Z30" i="27"/>
  <c r="E15" i="28"/>
  <c r="D148" i="28"/>
  <c r="D147" i="28"/>
  <c r="D145" i="28"/>
  <c r="D119" i="28"/>
  <c r="D110" i="28"/>
  <c r="D102" i="28"/>
  <c r="D92" i="28"/>
  <c r="D78" i="28"/>
  <c r="D54" i="28"/>
  <c r="D51" i="28"/>
  <c r="D209" i="28"/>
  <c r="D185" i="28"/>
  <c r="D50" i="28"/>
  <c r="D42" i="28"/>
  <c r="D41" i="28"/>
  <c r="D40" i="28"/>
  <c r="D18" i="28"/>
  <c r="I43" i="30" l="1"/>
  <c r="P30" i="30"/>
  <c r="P33" i="30" s="1"/>
  <c r="P41" i="30" s="1"/>
  <c r="Q27" i="30"/>
  <c r="Q30" i="30" s="1"/>
  <c r="Q33" i="30" s="1"/>
  <c r="H43" i="33"/>
  <c r="H41" i="30"/>
  <c r="H43" i="30" s="1"/>
  <c r="E42" i="33"/>
  <c r="Q43" i="33"/>
  <c r="X40" i="33"/>
  <c r="X41" i="33" s="1"/>
  <c r="X43" i="33" s="1"/>
  <c r="Y37" i="33"/>
  <c r="Z37" i="33" s="1"/>
  <c r="R43" i="33"/>
  <c r="Z23" i="30"/>
  <c r="D17" i="31"/>
  <c r="D212" i="31"/>
  <c r="D101" i="31"/>
  <c r="D43" i="31"/>
  <c r="F23" i="30"/>
  <c r="F42" i="30" s="1"/>
  <c r="R23" i="30"/>
  <c r="G45" i="30"/>
  <c r="X37" i="30"/>
  <c r="W40" i="30"/>
  <c r="W41" i="30" s="1"/>
  <c r="W43" i="30" s="1"/>
  <c r="S23" i="30"/>
  <c r="B23" i="30"/>
  <c r="B42" i="30" s="1"/>
  <c r="E23" i="30"/>
  <c r="E42" i="30" s="1"/>
  <c r="U23" i="30"/>
  <c r="S43" i="30"/>
  <c r="J43" i="30"/>
  <c r="K43" i="30"/>
  <c r="Q41" i="30"/>
  <c r="Q43" i="30" s="1"/>
  <c r="T41" i="30"/>
  <c r="T43" i="30" s="1"/>
  <c r="P43" i="30"/>
  <c r="L42" i="30"/>
  <c r="O43" i="30"/>
  <c r="U43" i="30"/>
  <c r="R37" i="30"/>
  <c r="R40" i="30" s="1"/>
  <c r="R41" i="30" s="1"/>
  <c r="V40" i="30"/>
  <c r="V41" i="30" s="1"/>
  <c r="V43" i="30" s="1"/>
  <c r="D17" i="28"/>
  <c r="D101" i="28"/>
  <c r="D43" i="28"/>
  <c r="U40" i="29"/>
  <c r="S40" i="29"/>
  <c r="P40" i="29"/>
  <c r="O40" i="29"/>
  <c r="M40" i="29"/>
  <c r="L40" i="29"/>
  <c r="K40" i="29"/>
  <c r="J40" i="29"/>
  <c r="I40" i="29"/>
  <c r="G40" i="29"/>
  <c r="F40" i="29"/>
  <c r="D40" i="29"/>
  <c r="Y39" i="29"/>
  <c r="H39" i="29"/>
  <c r="C39" i="29"/>
  <c r="B39" i="29"/>
  <c r="B40" i="29" s="1"/>
  <c r="Z38" i="29"/>
  <c r="Y38" i="29"/>
  <c r="H38" i="29"/>
  <c r="V37" i="29"/>
  <c r="V40" i="29" s="1"/>
  <c r="T37" i="29"/>
  <c r="T40" i="29" s="1"/>
  <c r="Q37" i="29"/>
  <c r="R37" i="29" s="1"/>
  <c r="R40" i="29" s="1"/>
  <c r="E37" i="29"/>
  <c r="C37" i="29"/>
  <c r="E36" i="29"/>
  <c r="C36" i="29"/>
  <c r="Z33" i="29"/>
  <c r="X30" i="29"/>
  <c r="X33" i="29" s="1"/>
  <c r="W30" i="29"/>
  <c r="W33" i="29" s="1"/>
  <c r="V30" i="29"/>
  <c r="V33" i="29" s="1"/>
  <c r="T30" i="29"/>
  <c r="T33" i="29" s="1"/>
  <c r="S30" i="29"/>
  <c r="S33" i="29" s="1"/>
  <c r="R30" i="29"/>
  <c r="R33" i="29" s="1"/>
  <c r="M30" i="29"/>
  <c r="M33" i="29" s="1"/>
  <c r="K30" i="29"/>
  <c r="K33" i="29" s="1"/>
  <c r="J30" i="29"/>
  <c r="J33" i="29" s="1"/>
  <c r="H30" i="29"/>
  <c r="H33" i="29" s="1"/>
  <c r="F30" i="29"/>
  <c r="F33" i="29" s="1"/>
  <c r="E30" i="29"/>
  <c r="E33" i="29" s="1"/>
  <c r="D30" i="29"/>
  <c r="D33" i="29" s="1"/>
  <c r="C30" i="29"/>
  <c r="C33" i="29" s="1"/>
  <c r="G29" i="29"/>
  <c r="G30" i="29" s="1"/>
  <c r="G33" i="29" s="1"/>
  <c r="G41" i="29" s="1"/>
  <c r="B29" i="29"/>
  <c r="B30" i="29" s="1"/>
  <c r="B33" i="29" s="1"/>
  <c r="Y27" i="29"/>
  <c r="Y30" i="29" s="1"/>
  <c r="Y33" i="29" s="1"/>
  <c r="U27" i="29"/>
  <c r="U30" i="29" s="1"/>
  <c r="U33" i="29" s="1"/>
  <c r="P27" i="29"/>
  <c r="P30" i="29" s="1"/>
  <c r="P33" i="29" s="1"/>
  <c r="O27" i="29"/>
  <c r="O30" i="29" s="1"/>
  <c r="O33" i="29" s="1"/>
  <c r="L27" i="29"/>
  <c r="L30" i="29" s="1"/>
  <c r="L33" i="29" s="1"/>
  <c r="I27" i="29"/>
  <c r="I30" i="29" s="1"/>
  <c r="I33" i="29" s="1"/>
  <c r="I41" i="29" s="1"/>
  <c r="Z22" i="29"/>
  <c r="Y22" i="29"/>
  <c r="X22" i="29"/>
  <c r="W22" i="29"/>
  <c r="T22" i="29"/>
  <c r="O22" i="29"/>
  <c r="L22" i="29"/>
  <c r="J22" i="29"/>
  <c r="K20" i="29"/>
  <c r="I20" i="29"/>
  <c r="G20" i="29"/>
  <c r="F20" i="29"/>
  <c r="E20" i="29"/>
  <c r="V19" i="29"/>
  <c r="V22" i="29" s="1"/>
  <c r="U19" i="29"/>
  <c r="S19" i="29"/>
  <c r="S22" i="29" s="1"/>
  <c r="R19" i="29"/>
  <c r="Q19" i="29"/>
  <c r="P19" i="29"/>
  <c r="M19" i="29"/>
  <c r="K19" i="29"/>
  <c r="I19" i="29"/>
  <c r="H19" i="29"/>
  <c r="G19" i="29"/>
  <c r="E19" i="29"/>
  <c r="D19" i="29"/>
  <c r="D22" i="29" s="1"/>
  <c r="C19" i="29"/>
  <c r="C22" i="29" s="1"/>
  <c r="B19" i="29"/>
  <c r="U18" i="29"/>
  <c r="R18" i="29"/>
  <c r="Q18" i="29"/>
  <c r="P18" i="29"/>
  <c r="M18" i="29"/>
  <c r="K18" i="29"/>
  <c r="I18" i="29"/>
  <c r="H18" i="29"/>
  <c r="G18" i="29"/>
  <c r="F18" i="29"/>
  <c r="E18" i="29"/>
  <c r="B18" i="29"/>
  <c r="Z15" i="29"/>
  <c r="U15" i="29"/>
  <c r="T15" i="29"/>
  <c r="S15" i="29"/>
  <c r="R15" i="29"/>
  <c r="Q15" i="29"/>
  <c r="P15" i="29"/>
  <c r="O15" i="29"/>
  <c r="K15" i="29"/>
  <c r="J15" i="29"/>
  <c r="H15" i="29"/>
  <c r="G15" i="29"/>
  <c r="F15" i="29"/>
  <c r="D15" i="29"/>
  <c r="C15" i="29"/>
  <c r="X14" i="29"/>
  <c r="Y14" i="29" s="1"/>
  <c r="W14" i="29"/>
  <c r="V14" i="29"/>
  <c r="Y11" i="29"/>
  <c r="Y15" i="29" s="1"/>
  <c r="Y23" i="29" s="1"/>
  <c r="X11" i="29"/>
  <c r="W11" i="29"/>
  <c r="V11" i="29"/>
  <c r="M11" i="29"/>
  <c r="M15" i="29" s="1"/>
  <c r="L11" i="29"/>
  <c r="L15" i="29" s="1"/>
  <c r="I11" i="29"/>
  <c r="I15" i="29" s="1"/>
  <c r="E11" i="29"/>
  <c r="E15" i="29" s="1"/>
  <c r="B11" i="29"/>
  <c r="B15" i="29" s="1"/>
  <c r="D212" i="28"/>
  <c r="E172" i="28"/>
  <c r="E175" i="28" s="1"/>
  <c r="Z39" i="27"/>
  <c r="U40" i="27"/>
  <c r="S40" i="27"/>
  <c r="P40" i="27"/>
  <c r="O40" i="27"/>
  <c r="M40" i="27"/>
  <c r="L40" i="27"/>
  <c r="K40" i="27"/>
  <c r="J40" i="27"/>
  <c r="I40" i="27"/>
  <c r="G40" i="27"/>
  <c r="F40" i="27"/>
  <c r="D40" i="27"/>
  <c r="Y39" i="27"/>
  <c r="H39" i="27"/>
  <c r="C39" i="27"/>
  <c r="B39" i="27"/>
  <c r="B40" i="27" s="1"/>
  <c r="Z38" i="27"/>
  <c r="Y38" i="27"/>
  <c r="H38" i="27"/>
  <c r="V37" i="27"/>
  <c r="T37" i="27"/>
  <c r="T40" i="27" s="1"/>
  <c r="Q37" i="27"/>
  <c r="E37" i="27"/>
  <c r="C37" i="27"/>
  <c r="E36" i="27"/>
  <c r="E40" i="27" s="1"/>
  <c r="C36" i="27"/>
  <c r="C40" i="27" s="1"/>
  <c r="Z33" i="27"/>
  <c r="X30" i="27"/>
  <c r="X33" i="27" s="1"/>
  <c r="W30" i="27"/>
  <c r="W33" i="27" s="1"/>
  <c r="V30" i="27"/>
  <c r="V33" i="27" s="1"/>
  <c r="T30" i="27"/>
  <c r="T33" i="27" s="1"/>
  <c r="T41" i="27" s="1"/>
  <c r="S30" i="27"/>
  <c r="S33" i="27" s="1"/>
  <c r="S41" i="27" s="1"/>
  <c r="R30" i="27"/>
  <c r="R33" i="27" s="1"/>
  <c r="M30" i="27"/>
  <c r="M33" i="27" s="1"/>
  <c r="M41" i="27" s="1"/>
  <c r="K30" i="27"/>
  <c r="K33" i="27" s="1"/>
  <c r="K41" i="27" s="1"/>
  <c r="J30" i="27"/>
  <c r="J33" i="27" s="1"/>
  <c r="J41" i="27" s="1"/>
  <c r="H30" i="27"/>
  <c r="H33" i="27" s="1"/>
  <c r="F30" i="27"/>
  <c r="F33" i="27" s="1"/>
  <c r="F41" i="27" s="1"/>
  <c r="E30" i="27"/>
  <c r="E33" i="27" s="1"/>
  <c r="E41" i="27" s="1"/>
  <c r="D30" i="27"/>
  <c r="D33" i="27" s="1"/>
  <c r="D41" i="27" s="1"/>
  <c r="C30" i="27"/>
  <c r="C33" i="27" s="1"/>
  <c r="C41" i="27" s="1"/>
  <c r="G29" i="27"/>
  <c r="G30" i="27" s="1"/>
  <c r="G33" i="27" s="1"/>
  <c r="G41" i="27" s="1"/>
  <c r="B29" i="27"/>
  <c r="B30" i="27" s="1"/>
  <c r="B33" i="27" s="1"/>
  <c r="B41" i="27" s="1"/>
  <c r="Y27" i="27"/>
  <c r="Y30" i="27" s="1"/>
  <c r="Y33" i="27" s="1"/>
  <c r="U27" i="27"/>
  <c r="U30" i="27" s="1"/>
  <c r="U33" i="27" s="1"/>
  <c r="U41" i="27" s="1"/>
  <c r="P27" i="27"/>
  <c r="O27" i="27"/>
  <c r="O30" i="27" s="1"/>
  <c r="O33" i="27" s="1"/>
  <c r="O41" i="27" s="1"/>
  <c r="L27" i="27"/>
  <c r="L30" i="27" s="1"/>
  <c r="L33" i="27" s="1"/>
  <c r="L41" i="27" s="1"/>
  <c r="I27" i="27"/>
  <c r="I30" i="27" s="1"/>
  <c r="I33" i="27" s="1"/>
  <c r="I41" i="27" s="1"/>
  <c r="Y22" i="27"/>
  <c r="X22" i="27"/>
  <c r="W22" i="27"/>
  <c r="T22" i="27"/>
  <c r="O22" i="27"/>
  <c r="L22" i="27"/>
  <c r="J22" i="27"/>
  <c r="K20" i="27"/>
  <c r="I20" i="27"/>
  <c r="G20" i="27"/>
  <c r="F20" i="27"/>
  <c r="E20" i="27"/>
  <c r="V19" i="27"/>
  <c r="V22" i="27" s="1"/>
  <c r="U19" i="27"/>
  <c r="S19" i="27"/>
  <c r="S22" i="27" s="1"/>
  <c r="R19" i="27"/>
  <c r="Q19" i="27"/>
  <c r="P19" i="27"/>
  <c r="M19" i="27"/>
  <c r="K19" i="27"/>
  <c r="I19" i="27"/>
  <c r="H19" i="27"/>
  <c r="G19" i="27"/>
  <c r="E19" i="27"/>
  <c r="D19" i="27"/>
  <c r="D22" i="27" s="1"/>
  <c r="C19" i="27"/>
  <c r="C22" i="27" s="1"/>
  <c r="B19" i="27"/>
  <c r="U18" i="27"/>
  <c r="U22" i="27" s="1"/>
  <c r="R18" i="27"/>
  <c r="R22" i="27" s="1"/>
  <c r="Q18" i="27"/>
  <c r="P18" i="27"/>
  <c r="P22" i="27" s="1"/>
  <c r="M18" i="27"/>
  <c r="M22" i="27" s="1"/>
  <c r="K18" i="27"/>
  <c r="K22" i="27" s="1"/>
  <c r="I18" i="27"/>
  <c r="H18" i="27"/>
  <c r="H22" i="27" s="1"/>
  <c r="G18" i="27"/>
  <c r="G22" i="27" s="1"/>
  <c r="F18" i="27"/>
  <c r="F22" i="27" s="1"/>
  <c r="E18" i="27"/>
  <c r="B18" i="27"/>
  <c r="B22" i="27" s="1"/>
  <c r="Z15" i="27"/>
  <c r="U15" i="27"/>
  <c r="U23" i="27" s="1"/>
  <c r="T15" i="27"/>
  <c r="T23" i="27" s="1"/>
  <c r="S15" i="27"/>
  <c r="S23" i="27" s="1"/>
  <c r="R15" i="27"/>
  <c r="R23" i="27" s="1"/>
  <c r="Q15" i="27"/>
  <c r="P15" i="27"/>
  <c r="P23" i="27" s="1"/>
  <c r="O15" i="27"/>
  <c r="O23" i="27" s="1"/>
  <c r="O43" i="27" s="1"/>
  <c r="K15" i="27"/>
  <c r="K23" i="27" s="1"/>
  <c r="K43" i="27" s="1"/>
  <c r="J15" i="27"/>
  <c r="J23" i="27" s="1"/>
  <c r="J43" i="27" s="1"/>
  <c r="H15" i="27"/>
  <c r="H23" i="27" s="1"/>
  <c r="G15" i="27"/>
  <c r="F15" i="27"/>
  <c r="D15" i="27"/>
  <c r="D23" i="27" s="1"/>
  <c r="D42" i="27" s="1"/>
  <c r="C15" i="27"/>
  <c r="C23" i="27" s="1"/>
  <c r="C42" i="27" s="1"/>
  <c r="X14" i="27"/>
  <c r="Y14" i="27" s="1"/>
  <c r="W14" i="27"/>
  <c r="V14" i="27"/>
  <c r="Y11" i="27"/>
  <c r="X11" i="27"/>
  <c r="X15" i="27" s="1"/>
  <c r="X23" i="27" s="1"/>
  <c r="W11" i="27"/>
  <c r="W15" i="27" s="1"/>
  <c r="W23" i="27" s="1"/>
  <c r="V11" i="27"/>
  <c r="V15" i="27" s="1"/>
  <c r="V23" i="27" s="1"/>
  <c r="M11" i="27"/>
  <c r="M15" i="27" s="1"/>
  <c r="L11" i="27"/>
  <c r="L15" i="27" s="1"/>
  <c r="L23" i="27" s="1"/>
  <c r="L42" i="27" s="1"/>
  <c r="I11" i="27"/>
  <c r="I15" i="27" s="1"/>
  <c r="E11" i="27"/>
  <c r="E15" i="27" s="1"/>
  <c r="B11" i="27"/>
  <c r="B15" i="27" s="1"/>
  <c r="B23" i="27" s="1"/>
  <c r="B42" i="27" s="1"/>
  <c r="D147" i="26"/>
  <c r="D144" i="26"/>
  <c r="D101" i="26"/>
  <c r="D91" i="26"/>
  <c r="D77" i="26"/>
  <c r="D58" i="26"/>
  <c r="D53" i="26"/>
  <c r="D50" i="26"/>
  <c r="D49" i="26"/>
  <c r="D42" i="26"/>
  <c r="D41" i="26"/>
  <c r="D40" i="26"/>
  <c r="D18" i="26"/>
  <c r="D16" i="26" s="1"/>
  <c r="D208" i="26"/>
  <c r="D184" i="26"/>
  <c r="D211" i="26" s="1"/>
  <c r="E171" i="26"/>
  <c r="E174" i="26" s="1"/>
  <c r="E176" i="26" s="1"/>
  <c r="D154" i="26"/>
  <c r="E15" i="26"/>
  <c r="E9" i="26" s="1"/>
  <c r="D9" i="26"/>
  <c r="Z39" i="25"/>
  <c r="U40" i="25"/>
  <c r="S40" i="25"/>
  <c r="P40" i="25"/>
  <c r="O40" i="25"/>
  <c r="M40" i="25"/>
  <c r="L40" i="25"/>
  <c r="K40" i="25"/>
  <c r="J40" i="25"/>
  <c r="I40" i="25"/>
  <c r="G40" i="25"/>
  <c r="F40" i="25"/>
  <c r="D40" i="25"/>
  <c r="Y39" i="25"/>
  <c r="H39" i="25"/>
  <c r="C39" i="25"/>
  <c r="B39" i="25"/>
  <c r="B40" i="25" s="1"/>
  <c r="Z38" i="25"/>
  <c r="Y38" i="25"/>
  <c r="H38" i="25"/>
  <c r="H40" i="25" s="1"/>
  <c r="V37" i="25"/>
  <c r="T37" i="25"/>
  <c r="T40" i="25" s="1"/>
  <c r="Q37" i="25"/>
  <c r="R37" i="25" s="1"/>
  <c r="R40" i="25" s="1"/>
  <c r="E37" i="25"/>
  <c r="C37" i="25"/>
  <c r="E36" i="25"/>
  <c r="E40" i="25" s="1"/>
  <c r="C36" i="25"/>
  <c r="C40" i="25" s="1"/>
  <c r="Z30" i="25"/>
  <c r="Z33" i="25" s="1"/>
  <c r="X30" i="25"/>
  <c r="X33" i="25" s="1"/>
  <c r="W30" i="25"/>
  <c r="W33" i="25" s="1"/>
  <c r="V30" i="25"/>
  <c r="V33" i="25" s="1"/>
  <c r="T30" i="25"/>
  <c r="T33" i="25" s="1"/>
  <c r="T41" i="25" s="1"/>
  <c r="S30" i="25"/>
  <c r="S33" i="25" s="1"/>
  <c r="S41" i="25" s="1"/>
  <c r="R30" i="25"/>
  <c r="R33" i="25" s="1"/>
  <c r="M30" i="25"/>
  <c r="M33" i="25" s="1"/>
  <c r="M41" i="25" s="1"/>
  <c r="K30" i="25"/>
  <c r="K33" i="25" s="1"/>
  <c r="K41" i="25" s="1"/>
  <c r="J30" i="25"/>
  <c r="J33" i="25" s="1"/>
  <c r="J41" i="25" s="1"/>
  <c r="H30" i="25"/>
  <c r="H33" i="25" s="1"/>
  <c r="F30" i="25"/>
  <c r="F33" i="25" s="1"/>
  <c r="F41" i="25" s="1"/>
  <c r="E30" i="25"/>
  <c r="E33" i="25" s="1"/>
  <c r="E41" i="25" s="1"/>
  <c r="D30" i="25"/>
  <c r="D33" i="25" s="1"/>
  <c r="D41" i="25" s="1"/>
  <c r="C30" i="25"/>
  <c r="C33" i="25" s="1"/>
  <c r="C41" i="25" s="1"/>
  <c r="G29" i="25"/>
  <c r="G30" i="25" s="1"/>
  <c r="G33" i="25" s="1"/>
  <c r="G41" i="25" s="1"/>
  <c r="B29" i="25"/>
  <c r="B30" i="25" s="1"/>
  <c r="B33" i="25" s="1"/>
  <c r="B41" i="25" s="1"/>
  <c r="Y27" i="25"/>
  <c r="Y30" i="25" s="1"/>
  <c r="Y33" i="25" s="1"/>
  <c r="U27" i="25"/>
  <c r="U30" i="25" s="1"/>
  <c r="U33" i="25" s="1"/>
  <c r="U41" i="25" s="1"/>
  <c r="P27" i="25"/>
  <c r="P30" i="25" s="1"/>
  <c r="P33" i="25" s="1"/>
  <c r="P41" i="25" s="1"/>
  <c r="O27" i="25"/>
  <c r="O30" i="25" s="1"/>
  <c r="O33" i="25" s="1"/>
  <c r="O41" i="25" s="1"/>
  <c r="L27" i="25"/>
  <c r="L30" i="25" s="1"/>
  <c r="L33" i="25" s="1"/>
  <c r="L41" i="25" s="1"/>
  <c r="I27" i="25"/>
  <c r="I30" i="25" s="1"/>
  <c r="I33" i="25" s="1"/>
  <c r="I41" i="25" s="1"/>
  <c r="Z22" i="25"/>
  <c r="Y22" i="25"/>
  <c r="X22" i="25"/>
  <c r="W22" i="25"/>
  <c r="T22" i="25"/>
  <c r="O22" i="25"/>
  <c r="L22" i="25"/>
  <c r="J22" i="25"/>
  <c r="K20" i="25"/>
  <c r="I20" i="25"/>
  <c r="G20" i="25"/>
  <c r="F20" i="25"/>
  <c r="E20" i="25"/>
  <c r="V19" i="25"/>
  <c r="V22" i="25" s="1"/>
  <c r="U19" i="25"/>
  <c r="S19" i="25"/>
  <c r="S22" i="25" s="1"/>
  <c r="R19" i="25"/>
  <c r="Q19" i="25"/>
  <c r="P19" i="25"/>
  <c r="M19" i="25"/>
  <c r="K19" i="25"/>
  <c r="I19" i="25"/>
  <c r="H19" i="25"/>
  <c r="G19" i="25"/>
  <c r="E19" i="25"/>
  <c r="D19" i="25"/>
  <c r="D22" i="25" s="1"/>
  <c r="C19" i="25"/>
  <c r="C22" i="25" s="1"/>
  <c r="B19" i="25"/>
  <c r="U18" i="25"/>
  <c r="U22" i="25" s="1"/>
  <c r="R18" i="25"/>
  <c r="R22" i="25" s="1"/>
  <c r="Q18" i="25"/>
  <c r="Q22" i="25" s="1"/>
  <c r="P18" i="25"/>
  <c r="P22" i="25" s="1"/>
  <c r="M18" i="25"/>
  <c r="M22" i="25" s="1"/>
  <c r="K18" i="25"/>
  <c r="K22" i="25" s="1"/>
  <c r="I18" i="25"/>
  <c r="I22" i="25" s="1"/>
  <c r="H18" i="25"/>
  <c r="H22" i="25" s="1"/>
  <c r="G18" i="25"/>
  <c r="G22" i="25" s="1"/>
  <c r="F18" i="25"/>
  <c r="F22" i="25" s="1"/>
  <c r="E18" i="25"/>
  <c r="E22" i="25" s="1"/>
  <c r="B18" i="25"/>
  <c r="B22" i="25" s="1"/>
  <c r="Z15" i="25"/>
  <c r="U15" i="25"/>
  <c r="U23" i="25" s="1"/>
  <c r="T15" i="25"/>
  <c r="T23" i="25" s="1"/>
  <c r="S15" i="25"/>
  <c r="S23" i="25" s="1"/>
  <c r="R15" i="25"/>
  <c r="R23" i="25" s="1"/>
  <c r="Q15" i="25"/>
  <c r="P15" i="25"/>
  <c r="P23" i="25" s="1"/>
  <c r="O15" i="25"/>
  <c r="O23" i="25" s="1"/>
  <c r="O43" i="25" s="1"/>
  <c r="K15" i="25"/>
  <c r="K23" i="25" s="1"/>
  <c r="K43" i="25" s="1"/>
  <c r="J15" i="25"/>
  <c r="J23" i="25" s="1"/>
  <c r="J43" i="25" s="1"/>
  <c r="H15" i="25"/>
  <c r="H23" i="25" s="1"/>
  <c r="G15" i="25"/>
  <c r="G23" i="25" s="1"/>
  <c r="F15" i="25"/>
  <c r="F23" i="25" s="1"/>
  <c r="F42" i="25" s="1"/>
  <c r="D15" i="25"/>
  <c r="D23" i="25" s="1"/>
  <c r="D42" i="25" s="1"/>
  <c r="C15" i="25"/>
  <c r="C23" i="25" s="1"/>
  <c r="C42" i="25" s="1"/>
  <c r="X14" i="25"/>
  <c r="Y14" i="25" s="1"/>
  <c r="W14" i="25"/>
  <c r="V14" i="25"/>
  <c r="Y11" i="25"/>
  <c r="Y15" i="25" s="1"/>
  <c r="Y23" i="25" s="1"/>
  <c r="X11" i="25"/>
  <c r="X15" i="25" s="1"/>
  <c r="X23" i="25" s="1"/>
  <c r="W11" i="25"/>
  <c r="W15" i="25" s="1"/>
  <c r="W23" i="25" s="1"/>
  <c r="V11" i="25"/>
  <c r="V15" i="25" s="1"/>
  <c r="V23" i="25" s="1"/>
  <c r="M11" i="25"/>
  <c r="M15" i="25" s="1"/>
  <c r="M23" i="25" s="1"/>
  <c r="L11" i="25"/>
  <c r="L15" i="25" s="1"/>
  <c r="L23" i="25" s="1"/>
  <c r="I11" i="25"/>
  <c r="I15" i="25" s="1"/>
  <c r="E11" i="25"/>
  <c r="E15" i="25" s="1"/>
  <c r="B11" i="25"/>
  <c r="B15" i="25" s="1"/>
  <c r="B23" i="25" s="1"/>
  <c r="B42" i="25" s="1"/>
  <c r="D147" i="24"/>
  <c r="D150" i="24"/>
  <c r="D146" i="24"/>
  <c r="D144" i="24"/>
  <c r="D143" i="24"/>
  <c r="D139" i="24"/>
  <c r="D128" i="24"/>
  <c r="D118" i="24"/>
  <c r="D117" i="24"/>
  <c r="D109" i="24"/>
  <c r="D91" i="24"/>
  <c r="D77" i="24"/>
  <c r="D49" i="24"/>
  <c r="D42" i="24"/>
  <c r="D41" i="24"/>
  <c r="D40" i="24"/>
  <c r="D18" i="24"/>
  <c r="D16" i="24" s="1"/>
  <c r="D208" i="24"/>
  <c r="D184" i="24"/>
  <c r="D211" i="24" s="1"/>
  <c r="E171" i="24"/>
  <c r="E174" i="24" s="1"/>
  <c r="E176" i="24" s="1"/>
  <c r="D154" i="24"/>
  <c r="E15" i="24"/>
  <c r="E9" i="24" s="1"/>
  <c r="D9" i="24"/>
  <c r="D53" i="22"/>
  <c r="D50" i="22"/>
  <c r="D16" i="22" s="1"/>
  <c r="E16" i="22" s="1"/>
  <c r="D208" i="22"/>
  <c r="D184" i="22"/>
  <c r="D211" i="22" s="1"/>
  <c r="E171" i="22"/>
  <c r="E174" i="22" s="1"/>
  <c r="E176" i="22" s="1"/>
  <c r="D154" i="22"/>
  <c r="D17" i="22"/>
  <c r="E15" i="22"/>
  <c r="E9" i="22"/>
  <c r="D9" i="22"/>
  <c r="D53" i="21"/>
  <c r="D77" i="21"/>
  <c r="D50" i="21"/>
  <c r="D49" i="21"/>
  <c r="D91" i="21"/>
  <c r="D84" i="21"/>
  <c r="D42" i="21"/>
  <c r="D41" i="21"/>
  <c r="D40" i="21"/>
  <c r="D18" i="21"/>
  <c r="D16" i="21" s="1"/>
  <c r="D208" i="21"/>
  <c r="D184" i="21"/>
  <c r="D211" i="21" s="1"/>
  <c r="E171" i="21"/>
  <c r="E174" i="21" s="1"/>
  <c r="E176" i="21" s="1"/>
  <c r="D154" i="21"/>
  <c r="E15" i="21"/>
  <c r="E9" i="21" s="1"/>
  <c r="D9" i="21"/>
  <c r="Z39" i="20"/>
  <c r="G44" i="25" l="1"/>
  <c r="V40" i="25"/>
  <c r="V41" i="25" s="1"/>
  <c r="V43" i="25" s="1"/>
  <c r="W37" i="25"/>
  <c r="X37" i="25" s="1"/>
  <c r="E22" i="27"/>
  <c r="I22" i="27"/>
  <c r="I23" i="27" s="1"/>
  <c r="Q22" i="27"/>
  <c r="Q23" i="27" s="1"/>
  <c r="Q27" i="27"/>
  <c r="Q30" i="27" s="1"/>
  <c r="Q33" i="27" s="1"/>
  <c r="P30" i="27"/>
  <c r="P33" i="27" s="1"/>
  <c r="P41" i="27" s="1"/>
  <c r="T43" i="27"/>
  <c r="Q40" i="27"/>
  <c r="R37" i="27"/>
  <c r="R40" i="27" s="1"/>
  <c r="R41" i="27" s="1"/>
  <c r="V40" i="27"/>
  <c r="V41" i="27" s="1"/>
  <c r="W37" i="27"/>
  <c r="D16" i="28"/>
  <c r="H40" i="27"/>
  <c r="Y15" i="27"/>
  <c r="Y23" i="27" s="1"/>
  <c r="H41" i="27"/>
  <c r="H43" i="27" s="1"/>
  <c r="Y40" i="33"/>
  <c r="Y41" i="33" s="1"/>
  <c r="Y43" i="33" s="1"/>
  <c r="D16" i="31"/>
  <c r="E16" i="31" s="1"/>
  <c r="D177" i="31" s="1"/>
  <c r="Y37" i="30"/>
  <c r="X40" i="30"/>
  <c r="X41" i="30" s="1"/>
  <c r="X43" i="30" s="1"/>
  <c r="R43" i="30"/>
  <c r="T23" i="29"/>
  <c r="J41" i="29"/>
  <c r="Z23" i="29"/>
  <c r="I22" i="29"/>
  <c r="I23" i="29" s="1"/>
  <c r="I43" i="29" s="1"/>
  <c r="L23" i="29"/>
  <c r="S41" i="29"/>
  <c r="U41" i="29"/>
  <c r="C40" i="29"/>
  <c r="C41" i="29" s="1"/>
  <c r="E40" i="29"/>
  <c r="E41" i="29" s="1"/>
  <c r="D41" i="29"/>
  <c r="O41" i="29"/>
  <c r="K22" i="29"/>
  <c r="K23" i="29" s="1"/>
  <c r="B41" i="29"/>
  <c r="C23" i="29"/>
  <c r="M22" i="29"/>
  <c r="M23" i="29" s="1"/>
  <c r="P22" i="29"/>
  <c r="P23" i="29" s="1"/>
  <c r="J23" i="29"/>
  <c r="W37" i="29"/>
  <c r="X37" i="29" s="1"/>
  <c r="X40" i="29" s="1"/>
  <c r="X41" i="29" s="1"/>
  <c r="M41" i="29"/>
  <c r="H40" i="29"/>
  <c r="H41" i="29" s="1"/>
  <c r="V15" i="29"/>
  <c r="V23" i="29" s="1"/>
  <c r="U22" i="29"/>
  <c r="U23" i="29" s="1"/>
  <c r="U43" i="29" s="1"/>
  <c r="L41" i="29"/>
  <c r="W15" i="29"/>
  <c r="W23" i="29" s="1"/>
  <c r="P41" i="29"/>
  <c r="F41" i="29"/>
  <c r="G22" i="29"/>
  <c r="G23" i="29" s="1"/>
  <c r="G45" i="29" s="1"/>
  <c r="X15" i="29"/>
  <c r="X23" i="29" s="1"/>
  <c r="E22" i="29"/>
  <c r="E23" i="29" s="1"/>
  <c r="Q22" i="29"/>
  <c r="Q23" i="29" s="1"/>
  <c r="H22" i="29"/>
  <c r="H23" i="29" s="1"/>
  <c r="D23" i="29"/>
  <c r="T41" i="29"/>
  <c r="T43" i="29" s="1"/>
  <c r="B22" i="29"/>
  <c r="B23" i="29" s="1"/>
  <c r="F22" i="29"/>
  <c r="F23" i="29" s="1"/>
  <c r="R22" i="29"/>
  <c r="R23" i="29" s="1"/>
  <c r="O23" i="29"/>
  <c r="S23" i="29"/>
  <c r="K41" i="29"/>
  <c r="E16" i="28"/>
  <c r="R41" i="29"/>
  <c r="V41" i="29"/>
  <c r="Q40" i="29"/>
  <c r="Q27" i="29"/>
  <c r="Q30" i="29" s="1"/>
  <c r="Q33" i="29" s="1"/>
  <c r="Z23" i="27"/>
  <c r="E23" i="27"/>
  <c r="E42" i="27" s="1"/>
  <c r="P43" i="27"/>
  <c r="U43" i="27"/>
  <c r="F23" i="27"/>
  <c r="F42" i="27" s="1"/>
  <c r="R43" i="27"/>
  <c r="V43" i="27"/>
  <c r="M23" i="27"/>
  <c r="G23" i="27"/>
  <c r="I43" i="27"/>
  <c r="G44" i="27"/>
  <c r="S43" i="27"/>
  <c r="E16" i="26"/>
  <c r="D176" i="26" s="1"/>
  <c r="D17" i="26"/>
  <c r="Z23" i="25"/>
  <c r="E23" i="25"/>
  <c r="E42" i="25" s="1"/>
  <c r="Q23" i="25"/>
  <c r="H41" i="25"/>
  <c r="H43" i="25" s="1"/>
  <c r="R41" i="25"/>
  <c r="R43" i="25" s="1"/>
  <c r="I23" i="25"/>
  <c r="P43" i="25"/>
  <c r="S43" i="25"/>
  <c r="L42" i="25"/>
  <c r="I43" i="25"/>
  <c r="U43" i="25"/>
  <c r="T43" i="25"/>
  <c r="X40" i="25"/>
  <c r="X41" i="25" s="1"/>
  <c r="X43" i="25" s="1"/>
  <c r="Y37" i="25"/>
  <c r="Q40" i="25"/>
  <c r="Q27" i="25"/>
  <c r="Q30" i="25" s="1"/>
  <c r="Q33" i="25" s="1"/>
  <c r="Q41" i="25" s="1"/>
  <c r="Q43" i="25" s="1"/>
  <c r="W40" i="25"/>
  <c r="W41" i="25" s="1"/>
  <c r="W43" i="25" s="1"/>
  <c r="E16" i="24"/>
  <c r="D176" i="24" s="1"/>
  <c r="D17" i="24"/>
  <c r="D176" i="22"/>
  <c r="E168" i="22"/>
  <c r="E16" i="21"/>
  <c r="D176" i="21" s="1"/>
  <c r="D17" i="21"/>
  <c r="U40" i="20"/>
  <c r="S40" i="20"/>
  <c r="P40" i="20"/>
  <c r="O40" i="20"/>
  <c r="M40" i="20"/>
  <c r="L40" i="20"/>
  <c r="K40" i="20"/>
  <c r="J40" i="20"/>
  <c r="I40" i="20"/>
  <c r="G40" i="20"/>
  <c r="F40" i="20"/>
  <c r="D40" i="20"/>
  <c r="Y39" i="20"/>
  <c r="H39" i="20"/>
  <c r="C39" i="20"/>
  <c r="B39" i="20"/>
  <c r="B40" i="20" s="1"/>
  <c r="Z38" i="20"/>
  <c r="Y38" i="20"/>
  <c r="H38" i="20"/>
  <c r="H40" i="20" s="1"/>
  <c r="V37" i="20"/>
  <c r="V40" i="20" s="1"/>
  <c r="T37" i="20"/>
  <c r="T40" i="20" s="1"/>
  <c r="Q37" i="20"/>
  <c r="R37" i="20" s="1"/>
  <c r="R40" i="20" s="1"/>
  <c r="E37" i="20"/>
  <c r="C37" i="20"/>
  <c r="E36" i="20"/>
  <c r="C36" i="20"/>
  <c r="C40" i="20" s="1"/>
  <c r="Z30" i="20"/>
  <c r="Z33" i="20" s="1"/>
  <c r="X30" i="20"/>
  <c r="X33" i="20" s="1"/>
  <c r="W30" i="20"/>
  <c r="W33" i="20" s="1"/>
  <c r="V30" i="20"/>
  <c r="V33" i="20" s="1"/>
  <c r="T30" i="20"/>
  <c r="T33" i="20" s="1"/>
  <c r="T41" i="20" s="1"/>
  <c r="S30" i="20"/>
  <c r="S33" i="20" s="1"/>
  <c r="S41" i="20" s="1"/>
  <c r="R30" i="20"/>
  <c r="R33" i="20" s="1"/>
  <c r="M30" i="20"/>
  <c r="M33" i="20" s="1"/>
  <c r="M41" i="20" s="1"/>
  <c r="K30" i="20"/>
  <c r="K33" i="20" s="1"/>
  <c r="K41" i="20" s="1"/>
  <c r="J30" i="20"/>
  <c r="J33" i="20" s="1"/>
  <c r="J41" i="20" s="1"/>
  <c r="H30" i="20"/>
  <c r="H33" i="20" s="1"/>
  <c r="F30" i="20"/>
  <c r="F33" i="20" s="1"/>
  <c r="F41" i="20" s="1"/>
  <c r="E30" i="20"/>
  <c r="E33" i="20" s="1"/>
  <c r="D30" i="20"/>
  <c r="D33" i="20" s="1"/>
  <c r="D41" i="20" s="1"/>
  <c r="C30" i="20"/>
  <c r="C33" i="20" s="1"/>
  <c r="G29" i="20"/>
  <c r="G30" i="20" s="1"/>
  <c r="G33" i="20" s="1"/>
  <c r="B29" i="20"/>
  <c r="B30" i="20" s="1"/>
  <c r="B33" i="20" s="1"/>
  <c r="Y27" i="20"/>
  <c r="Y30" i="20" s="1"/>
  <c r="Y33" i="20" s="1"/>
  <c r="U27" i="20"/>
  <c r="U30" i="20" s="1"/>
  <c r="U33" i="20" s="1"/>
  <c r="U41" i="20" s="1"/>
  <c r="P27" i="20"/>
  <c r="P30" i="20" s="1"/>
  <c r="P33" i="20" s="1"/>
  <c r="O27" i="20"/>
  <c r="O30" i="20" s="1"/>
  <c r="O33" i="20" s="1"/>
  <c r="O41" i="20" s="1"/>
  <c r="L27" i="20"/>
  <c r="L30" i="20" s="1"/>
  <c r="L33" i="20" s="1"/>
  <c r="L41" i="20" s="1"/>
  <c r="I27" i="20"/>
  <c r="I30" i="20" s="1"/>
  <c r="I33" i="20" s="1"/>
  <c r="I41" i="20" s="1"/>
  <c r="Z22" i="20"/>
  <c r="Y22" i="20"/>
  <c r="X22" i="20"/>
  <c r="W22" i="20"/>
  <c r="T22" i="20"/>
  <c r="O22" i="20"/>
  <c r="L22" i="20"/>
  <c r="J22" i="20"/>
  <c r="K20" i="20"/>
  <c r="I20" i="20"/>
  <c r="G20" i="20"/>
  <c r="F20" i="20"/>
  <c r="E20" i="20"/>
  <c r="V19" i="20"/>
  <c r="V22" i="20" s="1"/>
  <c r="U19" i="20"/>
  <c r="S19" i="20"/>
  <c r="S22" i="20" s="1"/>
  <c r="R19" i="20"/>
  <c r="Q19" i="20"/>
  <c r="P19" i="20"/>
  <c r="M19" i="20"/>
  <c r="K19" i="20"/>
  <c r="I19" i="20"/>
  <c r="H19" i="20"/>
  <c r="G19" i="20"/>
  <c r="E19" i="20"/>
  <c r="D19" i="20"/>
  <c r="D22" i="20" s="1"/>
  <c r="C19" i="20"/>
  <c r="C22" i="20" s="1"/>
  <c r="B19" i="20"/>
  <c r="U18" i="20"/>
  <c r="U22" i="20" s="1"/>
  <c r="R18" i="20"/>
  <c r="Q18" i="20"/>
  <c r="Q22" i="20" s="1"/>
  <c r="P18" i="20"/>
  <c r="P22" i="20" s="1"/>
  <c r="M18" i="20"/>
  <c r="K18" i="20"/>
  <c r="K22" i="20" s="1"/>
  <c r="I18" i="20"/>
  <c r="I22" i="20" s="1"/>
  <c r="H18" i="20"/>
  <c r="H22" i="20" s="1"/>
  <c r="G18" i="20"/>
  <c r="F18" i="20"/>
  <c r="E18" i="20"/>
  <c r="B18" i="20"/>
  <c r="B22" i="20" s="1"/>
  <c r="Z15" i="20"/>
  <c r="U15" i="20"/>
  <c r="U23" i="20" s="1"/>
  <c r="T15" i="20"/>
  <c r="S15" i="20"/>
  <c r="R15" i="20"/>
  <c r="Q15" i="20"/>
  <c r="P15" i="20"/>
  <c r="O15" i="20"/>
  <c r="O23" i="20" s="1"/>
  <c r="K15" i="20"/>
  <c r="K23" i="20" s="1"/>
  <c r="J15" i="20"/>
  <c r="J23" i="20" s="1"/>
  <c r="J43" i="20" s="1"/>
  <c r="H15" i="20"/>
  <c r="G15" i="20"/>
  <c r="F15" i="20"/>
  <c r="D15" i="20"/>
  <c r="D23" i="20" s="1"/>
  <c r="D42" i="20" s="1"/>
  <c r="C15" i="20"/>
  <c r="C23" i="20" s="1"/>
  <c r="X14" i="20"/>
  <c r="Y14" i="20" s="1"/>
  <c r="W14" i="20"/>
  <c r="V14" i="20"/>
  <c r="Y11" i="20"/>
  <c r="Y15" i="20" s="1"/>
  <c r="Y23" i="20" s="1"/>
  <c r="X11" i="20"/>
  <c r="X15" i="20" s="1"/>
  <c r="X23" i="20" s="1"/>
  <c r="W11" i="20"/>
  <c r="W15" i="20" s="1"/>
  <c r="W23" i="20" s="1"/>
  <c r="V11" i="20"/>
  <c r="V15" i="20" s="1"/>
  <c r="M11" i="20"/>
  <c r="M15" i="20" s="1"/>
  <c r="L11" i="20"/>
  <c r="L15" i="20" s="1"/>
  <c r="L23" i="20" s="1"/>
  <c r="I11" i="20"/>
  <c r="I15" i="20" s="1"/>
  <c r="I23" i="20" s="1"/>
  <c r="E11" i="20"/>
  <c r="E15" i="20" s="1"/>
  <c r="B11" i="20"/>
  <c r="B15" i="20" s="1"/>
  <c r="B23" i="20" s="1"/>
  <c r="F22" i="20" l="1"/>
  <c r="F23" i="20" s="1"/>
  <c r="U43" i="20"/>
  <c r="W40" i="27"/>
  <c r="W41" i="27" s="1"/>
  <c r="W43" i="27" s="1"/>
  <c r="X37" i="27"/>
  <c r="Q41" i="27"/>
  <c r="Q43" i="27" s="1"/>
  <c r="E177" i="31"/>
  <c r="Y40" i="30"/>
  <c r="Y41" i="30" s="1"/>
  <c r="Y43" i="30" s="1"/>
  <c r="Z37" i="30"/>
  <c r="Z40" i="30" s="1"/>
  <c r="Z41" i="30" s="1"/>
  <c r="AB41" i="30" s="1"/>
  <c r="J43" i="29"/>
  <c r="K43" i="29"/>
  <c r="L42" i="29"/>
  <c r="S43" i="29"/>
  <c r="D42" i="29"/>
  <c r="Y37" i="29"/>
  <c r="Y40" i="29" s="1"/>
  <c r="Y41" i="29" s="1"/>
  <c r="Y43" i="29" s="1"/>
  <c r="O43" i="29"/>
  <c r="W40" i="29"/>
  <c r="W41" i="29" s="1"/>
  <c r="W43" i="29" s="1"/>
  <c r="E42" i="29"/>
  <c r="P43" i="29"/>
  <c r="C42" i="29"/>
  <c r="H43" i="29"/>
  <c r="F42" i="29"/>
  <c r="B42" i="29"/>
  <c r="R43" i="29"/>
  <c r="X43" i="29"/>
  <c r="E177" i="28"/>
  <c r="D177" i="28"/>
  <c r="Q41" i="29"/>
  <c r="Q43" i="29" s="1"/>
  <c r="V43" i="29"/>
  <c r="E168" i="26"/>
  <c r="Z37" i="25"/>
  <c r="Z40" i="25" s="1"/>
  <c r="Z41" i="25" s="1"/>
  <c r="Y40" i="25"/>
  <c r="Y41" i="25" s="1"/>
  <c r="Y43" i="25" s="1"/>
  <c r="E168" i="24"/>
  <c r="E168" i="21"/>
  <c r="V23" i="20"/>
  <c r="K43" i="20"/>
  <c r="P41" i="20"/>
  <c r="G41" i="20"/>
  <c r="Q40" i="20"/>
  <c r="H23" i="20"/>
  <c r="O43" i="20"/>
  <c r="S23" i="20"/>
  <c r="I43" i="20"/>
  <c r="C41" i="20"/>
  <c r="C42" i="20" s="1"/>
  <c r="H41" i="20"/>
  <c r="P23" i="20"/>
  <c r="T23" i="20"/>
  <c r="T43" i="20" s="1"/>
  <c r="G22" i="20"/>
  <c r="G23" i="20" s="1"/>
  <c r="M22" i="20"/>
  <c r="M23" i="20" s="1"/>
  <c r="E22" i="20"/>
  <c r="E23" i="20" s="1"/>
  <c r="R22" i="20"/>
  <c r="R23" i="20" s="1"/>
  <c r="R41" i="20"/>
  <c r="E40" i="20"/>
  <c r="E41" i="20" s="1"/>
  <c r="Z23" i="20"/>
  <c r="G44" i="20"/>
  <c r="L42" i="20"/>
  <c r="V41" i="20"/>
  <c r="V43" i="20" s="1"/>
  <c r="H43" i="20"/>
  <c r="F42" i="20"/>
  <c r="Q23" i="20"/>
  <c r="B41" i="20"/>
  <c r="B42" i="20" s="1"/>
  <c r="S43" i="20"/>
  <c r="Q27" i="20"/>
  <c r="Q30" i="20" s="1"/>
  <c r="Q33" i="20" s="1"/>
  <c r="Q41" i="20" s="1"/>
  <c r="Q43" i="20" s="1"/>
  <c r="W37" i="20"/>
  <c r="D77" i="17"/>
  <c r="D53" i="17"/>
  <c r="D51" i="17"/>
  <c r="D50" i="17"/>
  <c r="D132" i="17"/>
  <c r="D131" i="17"/>
  <c r="D84" i="17"/>
  <c r="D42" i="17"/>
  <c r="D41" i="17"/>
  <c r="D40" i="17"/>
  <c r="D18" i="17"/>
  <c r="D16" i="17" s="1"/>
  <c r="R43" i="20" l="1"/>
  <c r="E42" i="20"/>
  <c r="Y37" i="27"/>
  <c r="X40" i="27"/>
  <c r="X41" i="27" s="1"/>
  <c r="X43" i="27" s="1"/>
  <c r="Z37" i="29"/>
  <c r="Z40" i="29" s="1"/>
  <c r="Z41" i="29" s="1"/>
  <c r="AB41" i="29" s="1"/>
  <c r="P43" i="20"/>
  <c r="X37" i="20"/>
  <c r="W40" i="20"/>
  <c r="W41" i="20" s="1"/>
  <c r="W43" i="20" s="1"/>
  <c r="D205" i="19"/>
  <c r="D182" i="19"/>
  <c r="D208" i="19" s="1"/>
  <c r="E169" i="19"/>
  <c r="E172" i="19" s="1"/>
  <c r="E174" i="19" s="1"/>
  <c r="D152" i="19"/>
  <c r="D84" i="19"/>
  <c r="D42" i="19"/>
  <c r="D41" i="19"/>
  <c r="D40" i="19"/>
  <c r="D18" i="19"/>
  <c r="E15" i="19"/>
  <c r="E9" i="19" s="1"/>
  <c r="D9" i="19"/>
  <c r="E208" i="19" l="1"/>
  <c r="Y40" i="27"/>
  <c r="Y41" i="27" s="1"/>
  <c r="Y43" i="27" s="1"/>
  <c r="Z37" i="27"/>
  <c r="Z40" i="27" s="1"/>
  <c r="Z41" i="27" s="1"/>
  <c r="D16" i="19"/>
  <c r="E16" i="19" s="1"/>
  <c r="X40" i="20"/>
  <c r="X41" i="20" s="1"/>
  <c r="X43" i="20" s="1"/>
  <c r="Y37" i="20"/>
  <c r="D174" i="19"/>
  <c r="E166" i="19"/>
  <c r="D17" i="19"/>
  <c r="Z39" i="18"/>
  <c r="Z38" i="18"/>
  <c r="U40" i="18"/>
  <c r="S40" i="18"/>
  <c r="P40" i="18"/>
  <c r="O40" i="18"/>
  <c r="M40" i="18"/>
  <c r="L40" i="18"/>
  <c r="K40" i="18"/>
  <c r="J40" i="18"/>
  <c r="I40" i="18"/>
  <c r="G40" i="18"/>
  <c r="F40" i="18"/>
  <c r="D40" i="18"/>
  <c r="Y39" i="18"/>
  <c r="H39" i="18"/>
  <c r="C39" i="18"/>
  <c r="B39" i="18"/>
  <c r="B40" i="18" s="1"/>
  <c r="Y38" i="18"/>
  <c r="H38" i="18"/>
  <c r="V37" i="18"/>
  <c r="V40" i="18" s="1"/>
  <c r="T37" i="18"/>
  <c r="T40" i="18" s="1"/>
  <c r="Q37" i="18"/>
  <c r="E37" i="18"/>
  <c r="C37" i="18"/>
  <c r="E36" i="18"/>
  <c r="E40" i="18" s="1"/>
  <c r="C36" i="18"/>
  <c r="Z30" i="18"/>
  <c r="Z33" i="18" s="1"/>
  <c r="X30" i="18"/>
  <c r="X33" i="18" s="1"/>
  <c r="W30" i="18"/>
  <c r="W33" i="18" s="1"/>
  <c r="V30" i="18"/>
  <c r="V33" i="18" s="1"/>
  <c r="V41" i="18" s="1"/>
  <c r="T30" i="18"/>
  <c r="T33" i="18" s="1"/>
  <c r="S30" i="18"/>
  <c r="S33" i="18" s="1"/>
  <c r="S41" i="18" s="1"/>
  <c r="R30" i="18"/>
  <c r="R33" i="18" s="1"/>
  <c r="M30" i="18"/>
  <c r="M33" i="18" s="1"/>
  <c r="M41" i="18" s="1"/>
  <c r="K30" i="18"/>
  <c r="K33" i="18" s="1"/>
  <c r="J30" i="18"/>
  <c r="J33" i="18" s="1"/>
  <c r="J41" i="18" s="1"/>
  <c r="H30" i="18"/>
  <c r="H33" i="18" s="1"/>
  <c r="F30" i="18"/>
  <c r="F33" i="18" s="1"/>
  <c r="E30" i="18"/>
  <c r="E33" i="18" s="1"/>
  <c r="E41" i="18" s="1"/>
  <c r="D30" i="18"/>
  <c r="D33" i="18" s="1"/>
  <c r="D41" i="18" s="1"/>
  <c r="C30" i="18"/>
  <c r="C33" i="18" s="1"/>
  <c r="G29" i="18"/>
  <c r="G30" i="18" s="1"/>
  <c r="G33" i="18" s="1"/>
  <c r="G41" i="18" s="1"/>
  <c r="B29" i="18"/>
  <c r="B30" i="18" s="1"/>
  <c r="B33" i="18" s="1"/>
  <c r="Y27" i="18"/>
  <c r="Y30" i="18" s="1"/>
  <c r="Y33" i="18" s="1"/>
  <c r="U27" i="18"/>
  <c r="U30" i="18" s="1"/>
  <c r="U33" i="18" s="1"/>
  <c r="U41" i="18" s="1"/>
  <c r="P27" i="18"/>
  <c r="Q27" i="18" s="1"/>
  <c r="Q30" i="18" s="1"/>
  <c r="Q33" i="18" s="1"/>
  <c r="O27" i="18"/>
  <c r="O30" i="18" s="1"/>
  <c r="O33" i="18" s="1"/>
  <c r="O41" i="18" s="1"/>
  <c r="L27" i="18"/>
  <c r="L30" i="18" s="1"/>
  <c r="L33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K20" i="18"/>
  <c r="I20" i="18"/>
  <c r="G20" i="18"/>
  <c r="F20" i="18"/>
  <c r="E20" i="18"/>
  <c r="V19" i="18"/>
  <c r="V22" i="18" s="1"/>
  <c r="U19" i="18"/>
  <c r="S19" i="18"/>
  <c r="S22" i="18" s="1"/>
  <c r="R19" i="18"/>
  <c r="Q19" i="18"/>
  <c r="P19" i="18"/>
  <c r="M19" i="18"/>
  <c r="K19" i="18"/>
  <c r="I19" i="18"/>
  <c r="H19" i="18"/>
  <c r="G19" i="18"/>
  <c r="E19" i="18"/>
  <c r="D19" i="18"/>
  <c r="D22" i="18" s="1"/>
  <c r="C19" i="18"/>
  <c r="C22" i="18" s="1"/>
  <c r="B19" i="18"/>
  <c r="U18" i="18"/>
  <c r="R18" i="18"/>
  <c r="R22" i="18" s="1"/>
  <c r="Q18" i="18"/>
  <c r="P18" i="18"/>
  <c r="M18" i="18"/>
  <c r="M22" i="18" s="1"/>
  <c r="K18" i="18"/>
  <c r="K22" i="18" s="1"/>
  <c r="I18" i="18"/>
  <c r="I22" i="18" s="1"/>
  <c r="H18" i="18"/>
  <c r="H22" i="18" s="1"/>
  <c r="G18" i="18"/>
  <c r="F18" i="18"/>
  <c r="F22" i="18" s="1"/>
  <c r="E18" i="18"/>
  <c r="E22" i="18" s="1"/>
  <c r="B18" i="18"/>
  <c r="B22" i="18" s="1"/>
  <c r="U15" i="18"/>
  <c r="T15" i="18"/>
  <c r="T23" i="18" s="1"/>
  <c r="S15" i="18"/>
  <c r="S23" i="18" s="1"/>
  <c r="R15" i="18"/>
  <c r="Q15" i="18"/>
  <c r="P15" i="18"/>
  <c r="O15" i="18"/>
  <c r="O23" i="18" s="1"/>
  <c r="O43" i="18" s="1"/>
  <c r="K15" i="18"/>
  <c r="J15" i="18"/>
  <c r="H15" i="18"/>
  <c r="G15" i="18"/>
  <c r="F15" i="18"/>
  <c r="D15" i="18"/>
  <c r="D23" i="18" s="1"/>
  <c r="C15" i="18"/>
  <c r="C23" i="18" s="1"/>
  <c r="X14" i="18"/>
  <c r="Y14" i="18" s="1"/>
  <c r="Z15" i="18" s="1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V15" i="18" s="1"/>
  <c r="V23" i="18" s="1"/>
  <c r="M11" i="18"/>
  <c r="M15" i="18" s="1"/>
  <c r="M23" i="18" s="1"/>
  <c r="L11" i="18"/>
  <c r="L15" i="18" s="1"/>
  <c r="L23" i="18" s="1"/>
  <c r="I11" i="18"/>
  <c r="I15" i="18" s="1"/>
  <c r="E11" i="18"/>
  <c r="E15" i="18" s="1"/>
  <c r="E23" i="18" s="1"/>
  <c r="E42" i="18" s="1"/>
  <c r="B11" i="18"/>
  <c r="B15" i="18" s="1"/>
  <c r="B23" i="18" s="1"/>
  <c r="P22" i="18" l="1"/>
  <c r="U22" i="18"/>
  <c r="G22" i="18"/>
  <c r="Q40" i="18"/>
  <c r="Q41" i="18" s="1"/>
  <c r="R37" i="18"/>
  <c r="R40" i="18" s="1"/>
  <c r="R41" i="18" s="1"/>
  <c r="H40" i="18"/>
  <c r="H41" i="18" s="1"/>
  <c r="Q22" i="18"/>
  <c r="H23" i="18"/>
  <c r="K41" i="18"/>
  <c r="U23" i="18"/>
  <c r="U43" i="18" s="1"/>
  <c r="L41" i="18"/>
  <c r="L42" i="18" s="1"/>
  <c r="J23" i="18"/>
  <c r="F41" i="18"/>
  <c r="Z23" i="18"/>
  <c r="G23" i="18"/>
  <c r="G44" i="18" s="1"/>
  <c r="R23" i="18"/>
  <c r="P30" i="18"/>
  <c r="P33" i="18" s="1"/>
  <c r="P41" i="18" s="1"/>
  <c r="C40" i="18"/>
  <c r="C41" i="18" s="1"/>
  <c r="C42" i="18" s="1"/>
  <c r="W37" i="18"/>
  <c r="Z37" i="20"/>
  <c r="Z40" i="20" s="1"/>
  <c r="Z41" i="20" s="1"/>
  <c r="Y40" i="20"/>
  <c r="Y41" i="20" s="1"/>
  <c r="Y43" i="20" s="1"/>
  <c r="R43" i="18"/>
  <c r="I23" i="18"/>
  <c r="D42" i="18"/>
  <c r="J43" i="18"/>
  <c r="P23" i="18"/>
  <c r="I43" i="18"/>
  <c r="B41" i="18"/>
  <c r="B42" i="18" s="1"/>
  <c r="S43" i="18"/>
  <c r="F23" i="18"/>
  <c r="F42" i="18" s="1"/>
  <c r="K23" i="18"/>
  <c r="K43" i="18" s="1"/>
  <c r="Q23" i="18"/>
  <c r="Q43" i="18" s="1"/>
  <c r="T41" i="18"/>
  <c r="T43" i="18" s="1"/>
  <c r="V43" i="18"/>
  <c r="D206" i="17"/>
  <c r="D182" i="17"/>
  <c r="E169" i="17"/>
  <c r="E172" i="17" s="1"/>
  <c r="E174" i="17" s="1"/>
  <c r="D152" i="17"/>
  <c r="E15" i="17"/>
  <c r="E9" i="17" s="1"/>
  <c r="D9" i="17"/>
  <c r="H43" i="18" l="1"/>
  <c r="P43" i="18"/>
  <c r="W40" i="18"/>
  <c r="W41" i="18" s="1"/>
  <c r="W43" i="18" s="1"/>
  <c r="X37" i="18"/>
  <c r="D17" i="17"/>
  <c r="D209" i="17"/>
  <c r="E16" i="17"/>
  <c r="E166" i="17" s="1"/>
  <c r="X40" i="18" l="1"/>
  <c r="X41" i="18" s="1"/>
  <c r="X43" i="18" s="1"/>
  <c r="Y37" i="18"/>
  <c r="D174" i="17"/>
  <c r="D42" i="12"/>
  <c r="D41" i="12"/>
  <c r="D40" i="12"/>
  <c r="D18" i="12"/>
  <c r="Y40" i="18" l="1"/>
  <c r="Y41" i="18" s="1"/>
  <c r="Y43" i="18" s="1"/>
  <c r="Z37" i="18"/>
  <c r="Z40" i="18" s="1"/>
  <c r="Z41" i="18" s="1"/>
  <c r="U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H40" i="14" s="1"/>
  <c r="V37" i="14"/>
  <c r="V40" i="14" s="1"/>
  <c r="T37" i="14"/>
  <c r="T40" i="14" s="1"/>
  <c r="Q37" i="14"/>
  <c r="Q40" i="14" s="1"/>
  <c r="E37" i="14"/>
  <c r="C37" i="14"/>
  <c r="E36" i="14"/>
  <c r="C36" i="14"/>
  <c r="Z30" i="14"/>
  <c r="Z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M30" i="14"/>
  <c r="M33" i="14" s="1"/>
  <c r="K30" i="14"/>
  <c r="K33" i="14" s="1"/>
  <c r="K41" i="14" s="1"/>
  <c r="J30" i="14"/>
  <c r="J33" i="14" s="1"/>
  <c r="H30" i="14"/>
  <c r="H33" i="14" s="1"/>
  <c r="H41" i="14" s="1"/>
  <c r="F30" i="14"/>
  <c r="F33" i="14" s="1"/>
  <c r="F41" i="14" s="1"/>
  <c r="E30" i="14"/>
  <c r="E33" i="14" s="1"/>
  <c r="D30" i="14"/>
  <c r="D33" i="14" s="1"/>
  <c r="C30" i="14"/>
  <c r="C33" i="14" s="1"/>
  <c r="G29" i="14"/>
  <c r="G30" i="14" s="1"/>
  <c r="G33" i="14" s="1"/>
  <c r="G41" i="14" s="1"/>
  <c r="B29" i="14"/>
  <c r="B30" i="14" s="1"/>
  <c r="B33" i="14" s="1"/>
  <c r="B41" i="14" s="1"/>
  <c r="Y27" i="14"/>
  <c r="Y30" i="14" s="1"/>
  <c r="Y33" i="14" s="1"/>
  <c r="U27" i="14"/>
  <c r="U30" i="14" s="1"/>
  <c r="U33" i="14" s="1"/>
  <c r="U41" i="14" s="1"/>
  <c r="P27" i="14"/>
  <c r="O27" i="14"/>
  <c r="O30" i="14" s="1"/>
  <c r="O33" i="14" s="1"/>
  <c r="O41" i="14" s="1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J22" i="14"/>
  <c r="K20" i="14"/>
  <c r="I20" i="14"/>
  <c r="G20" i="14"/>
  <c r="F20" i="14"/>
  <c r="E20" i="14"/>
  <c r="V19" i="14"/>
  <c r="V22" i="14" s="1"/>
  <c r="U19" i="14"/>
  <c r="S19" i="14"/>
  <c r="S22" i="14" s="1"/>
  <c r="R19" i="14"/>
  <c r="Q19" i="14"/>
  <c r="P19" i="14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R18" i="14"/>
  <c r="R22" i="14" s="1"/>
  <c r="Q18" i="14"/>
  <c r="Q22" i="14" s="1"/>
  <c r="P18" i="14"/>
  <c r="M18" i="14"/>
  <c r="M22" i="14" s="1"/>
  <c r="K18" i="14"/>
  <c r="K22" i="14" s="1"/>
  <c r="I18" i="14"/>
  <c r="I22" i="14" s="1"/>
  <c r="H18" i="14"/>
  <c r="G18" i="14"/>
  <c r="F18" i="14"/>
  <c r="E18" i="14"/>
  <c r="E22" i="14" s="1"/>
  <c r="B18" i="14"/>
  <c r="B22" i="14" s="1"/>
  <c r="U15" i="14"/>
  <c r="T15" i="14"/>
  <c r="T23" i="14" s="1"/>
  <c r="S15" i="14"/>
  <c r="S23" i="14" s="1"/>
  <c r="R15" i="14"/>
  <c r="Q15" i="14"/>
  <c r="P15" i="14"/>
  <c r="O15" i="14"/>
  <c r="O23" i="14" s="1"/>
  <c r="K15" i="14"/>
  <c r="J15" i="14"/>
  <c r="J23" i="14" s="1"/>
  <c r="H15" i="14"/>
  <c r="G15" i="14"/>
  <c r="F15" i="14"/>
  <c r="D15" i="14"/>
  <c r="C15" i="14"/>
  <c r="X14" i="14"/>
  <c r="Y14" i="14" s="1"/>
  <c r="Z14" i="14" s="1"/>
  <c r="Z15" i="14" s="1"/>
  <c r="Z23" i="14" s="1"/>
  <c r="W14" i="14"/>
  <c r="V14" i="14"/>
  <c r="Y11" i="14"/>
  <c r="Y15" i="14" s="1"/>
  <c r="Y23" i="14" s="1"/>
  <c r="X11" i="14"/>
  <c r="X15" i="14" s="1"/>
  <c r="W11" i="14"/>
  <c r="W15" i="14" s="1"/>
  <c r="V11" i="14"/>
  <c r="V15" i="14" s="1"/>
  <c r="V23" i="14" s="1"/>
  <c r="M11" i="14"/>
  <c r="M15" i="14" s="1"/>
  <c r="L11" i="14"/>
  <c r="L15" i="14" s="1"/>
  <c r="I11" i="14"/>
  <c r="I15" i="14" s="1"/>
  <c r="E11" i="14"/>
  <c r="E15" i="14" s="1"/>
  <c r="B11" i="14"/>
  <c r="B15" i="14" s="1"/>
  <c r="B23" i="14" s="1"/>
  <c r="B42" i="14" s="1"/>
  <c r="P22" i="14" l="1"/>
  <c r="G22" i="14"/>
  <c r="G23" i="14" s="1"/>
  <c r="P30" i="14"/>
  <c r="P33" i="14" s="1"/>
  <c r="P41" i="14" s="1"/>
  <c r="Q27" i="14"/>
  <c r="Q30" i="14" s="1"/>
  <c r="Q33" i="14" s="1"/>
  <c r="E23" i="14"/>
  <c r="W37" i="14"/>
  <c r="W40" i="14" s="1"/>
  <c r="C23" i="14"/>
  <c r="P23" i="14"/>
  <c r="T41" i="14"/>
  <c r="I23" i="14"/>
  <c r="W23" i="14"/>
  <c r="D23" i="14"/>
  <c r="Q23" i="14"/>
  <c r="U22" i="14"/>
  <c r="U23" i="14" s="1"/>
  <c r="V41" i="14"/>
  <c r="V43" i="14" s="1"/>
  <c r="C40" i="14"/>
  <c r="C41" i="14" s="1"/>
  <c r="M41" i="14"/>
  <c r="L23" i="14"/>
  <c r="L42" i="14" s="1"/>
  <c r="X23" i="14"/>
  <c r="K23" i="14"/>
  <c r="K43" i="14" s="1"/>
  <c r="R23" i="14"/>
  <c r="H22" i="14"/>
  <c r="H23" i="14" s="1"/>
  <c r="H43" i="14" s="1"/>
  <c r="F22" i="14"/>
  <c r="F23" i="14" s="1"/>
  <c r="F42" i="14" s="1"/>
  <c r="D41" i="14"/>
  <c r="J41" i="14"/>
  <c r="J43" i="14" s="1"/>
  <c r="W41" i="14"/>
  <c r="E40" i="14"/>
  <c r="E41" i="14" s="1"/>
  <c r="P43" i="14"/>
  <c r="W43" i="14"/>
  <c r="M23" i="14"/>
  <c r="O43" i="14"/>
  <c r="I43" i="14"/>
  <c r="Q41" i="14"/>
  <c r="Q43" i="14" s="1"/>
  <c r="G44" i="14"/>
  <c r="S43" i="14"/>
  <c r="U43" i="14"/>
  <c r="T43" i="14"/>
  <c r="R37" i="14"/>
  <c r="R40" i="14" s="1"/>
  <c r="R41" i="14" s="1"/>
  <c r="R43" i="14" s="1"/>
  <c r="X37" i="14"/>
  <c r="C42" i="14" l="1"/>
  <c r="D42" i="14"/>
  <c r="E42" i="14"/>
  <c r="Y37" i="14"/>
  <c r="Z37" i="14" s="1"/>
  <c r="X40" i="14"/>
  <c r="X41" i="14" s="1"/>
  <c r="X43" i="14" s="1"/>
  <c r="Z40" i="14" l="1"/>
  <c r="Z41" i="14" s="1"/>
  <c r="Y40" i="14"/>
  <c r="Y41" i="14" s="1"/>
  <c r="Y43" i="14" s="1"/>
  <c r="D180" i="12" l="1"/>
  <c r="D43" i="12" l="1"/>
  <c r="D203" i="12" l="1"/>
  <c r="D150" i="12"/>
  <c r="D17" i="12"/>
  <c r="E15" i="12"/>
  <c r="E9" i="12" s="1"/>
  <c r="D9" i="12"/>
  <c r="D16" i="12" l="1"/>
  <c r="E16" i="12" s="1"/>
  <c r="E164" i="12" s="1"/>
  <c r="D206" i="12"/>
  <c r="D172" i="12" l="1"/>
  <c r="E167" i="12"/>
  <c r="E170" i="12" s="1"/>
  <c r="E172" i="12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T22" i="10"/>
  <c r="O22" i="10"/>
  <c r="L22" i="10"/>
  <c r="J22" i="10"/>
  <c r="K20" i="10"/>
  <c r="I20" i="10"/>
  <c r="G20" i="10"/>
  <c r="F20" i="10"/>
  <c r="E20" i="10"/>
  <c r="V19" i="10"/>
  <c r="V22" i="10" s="1"/>
  <c r="U19" i="10"/>
  <c r="S19" i="10"/>
  <c r="S22" i="10" s="1"/>
  <c r="R19" i="10"/>
  <c r="Q19" i="10"/>
  <c r="P19" i="10"/>
  <c r="M19" i="10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Q18" i="10"/>
  <c r="Q22" i="10" s="1"/>
  <c r="P18" i="10"/>
  <c r="M18" i="10"/>
  <c r="K18" i="10"/>
  <c r="I18" i="10"/>
  <c r="I22" i="10" s="1"/>
  <c r="H18" i="10"/>
  <c r="H22" i="10" s="1"/>
  <c r="G18" i="10"/>
  <c r="F18" i="10"/>
  <c r="E18" i="10"/>
  <c r="B18" i="10"/>
  <c r="U15" i="10"/>
  <c r="U23" i="10" s="1"/>
  <c r="T15" i="10"/>
  <c r="S15" i="10"/>
  <c r="R15" i="10"/>
  <c r="Q15" i="10"/>
  <c r="P15" i="10"/>
  <c r="O15" i="10"/>
  <c r="K15" i="10"/>
  <c r="J15" i="10"/>
  <c r="H15" i="10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M22" i="10" l="1"/>
  <c r="F22" i="10"/>
  <c r="F23" i="10" s="1"/>
  <c r="Q27" i="10"/>
  <c r="Q30" i="10" s="1"/>
  <c r="Q33" i="10" s="1"/>
  <c r="Q41" i="10" s="1"/>
  <c r="F41" i="10"/>
  <c r="H23" i="10"/>
  <c r="T23" i="10"/>
  <c r="K22" i="10"/>
  <c r="K23" i="10" s="1"/>
  <c r="K43" i="10" s="1"/>
  <c r="R22" i="10"/>
  <c r="R23" i="10" s="1"/>
  <c r="E40" i="10"/>
  <c r="L42" i="10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B41" i="10"/>
  <c r="E41" i="10"/>
  <c r="H41" i="10"/>
  <c r="H43" i="10" s="1"/>
  <c r="I43" i="10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D23" i="10"/>
  <c r="D42" i="10" s="1"/>
  <c r="B23" i="10"/>
  <c r="B42" i="10" s="1"/>
  <c r="S23" i="10"/>
  <c r="R37" i="10"/>
  <c r="R40" i="10" s="1"/>
  <c r="R41" i="10" s="1"/>
  <c r="X15" i="10"/>
  <c r="X23" i="10" s="1"/>
  <c r="V40" i="10"/>
  <c r="V41" i="10" s="1"/>
  <c r="V43" i="10" s="1"/>
  <c r="Q43" i="10" l="1"/>
  <c r="F42" i="10"/>
  <c r="R43" i="10"/>
  <c r="W43" i="10"/>
  <c r="E42" i="10"/>
  <c r="S43" i="10"/>
  <c r="X40" i="10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  <c r="D16" i="32"/>
  <c r="E16" i="32" s="1"/>
  <c r="E177" i="32" l="1"/>
  <c r="D177" i="32"/>
  <c r="Z40" i="33"/>
  <c r="Z41" i="33" s="1"/>
  <c r="AB41" i="33" s="1"/>
  <c r="Z40" i="35"/>
  <c r="Z41" i="35" s="1"/>
  <c r="AB41" i="35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0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7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8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9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<sst xmlns="http://schemas.openxmlformats.org/spreadsheetml/2006/main" count="5279" uniqueCount="426">
  <si>
    <t>MINISTERIO DE RELACIONES EXTERIORES</t>
  </si>
  <si>
    <t>DIRECCIÓN GENERAL DE PASAPORTES</t>
  </si>
  <si>
    <t>DEPARTAMENTO FINANCIERO</t>
  </si>
  <si>
    <t xml:space="preserve"> </t>
  </si>
  <si>
    <t>Balance General</t>
  </si>
  <si>
    <t>Al 31/01/2022</t>
  </si>
  <si>
    <t>(Saldos en RD$ pesos dominicanos)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</si>
  <si>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</si>
  <si>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</si>
  <si>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</si>
  <si>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</si>
  <si>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</si>
  <si>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</si>
  <si>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</si>
  <si>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</si>
  <si>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</si>
  <si>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</si>
  <si>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</si>
  <si>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</si>
  <si>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</si>
  <si>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</si>
  <si>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</si>
  <si>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</si>
  <si>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</si>
  <si>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Equivalente de efectivo (Ejecución Presupuestaria)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</si>
  <si>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</si>
  <si>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</si>
  <si>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</si>
  <si>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</si>
  <si>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</si>
  <si>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</si>
  <si>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</si>
  <si>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</si>
  <si>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</si>
  <si>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</si>
  <si>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</si>
  <si>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</si>
  <si>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</si>
  <si>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</si>
  <si>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</si>
  <si>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</si>
  <si>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</si>
  <si>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</si>
  <si>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</si>
  <si>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</si>
  <si>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</si>
  <si>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</si>
  <si>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</si>
  <si>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</si>
  <si>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</si>
  <si>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Lic. Bernys Pérez Meran</t>
  </si>
  <si>
    <t>Aux. de Contabilidad</t>
  </si>
  <si>
    <t>Revisado por:</t>
  </si>
  <si>
    <t xml:space="preserve">Lic. Manuel Gregorio Florián </t>
  </si>
  <si>
    <t>Encargado Financiero</t>
  </si>
  <si>
    <t>DIRECCION GENERAL DE PASAPORTES</t>
  </si>
  <si>
    <t>DIVISION DE CONTABILIDAD</t>
  </si>
  <si>
    <t>ESTADO DE RESULTADO</t>
  </si>
  <si>
    <t>(VALORES EN RD$)</t>
  </si>
  <si>
    <t>CTA</t>
  </si>
  <si>
    <t>TOTAL PERIODO 2022  ENERO</t>
  </si>
  <si>
    <t>CONTABLE</t>
  </si>
  <si>
    <t>CTA.</t>
  </si>
  <si>
    <t>INGRESOS</t>
  </si>
  <si>
    <t>100-2087</t>
  </si>
  <si>
    <t>I101</t>
  </si>
  <si>
    <t>PRESUPUESTARIOS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</si>
  <si>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</si>
  <si>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</si>
  <si>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</si>
  <si>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</si>
  <si>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</si>
  <si>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</si>
  <si>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</si>
  <si>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</si>
  <si>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</si>
  <si>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</si>
  <si>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</si>
  <si>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</si>
  <si>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</si>
  <si>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>510101000100010001</t>
  </si>
  <si>
    <t>SUELDO FIJO</t>
  </si>
  <si>
    <t>51010100020001</t>
  </si>
  <si>
    <t>SUELDO PERSONAL CONTRATADO</t>
  </si>
  <si>
    <t>51010100020003</t>
  </si>
  <si>
    <t>SUPLENCIAS</t>
  </si>
  <si>
    <t>51010100020004</t>
  </si>
  <si>
    <t>PERSONAL SERVICIOS ESPECIALES</t>
  </si>
  <si>
    <t>51010100070001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</si>
  <si>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</si>
  <si>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</si>
  <si>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</si>
  <si>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</si>
  <si>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510101000700030001</t>
  </si>
  <si>
    <t>SULEDO 13</t>
  </si>
  <si>
    <t>510101000700040001</t>
  </si>
  <si>
    <t>PRESTACIONES LABORALES</t>
  </si>
  <si>
    <t>PRESTACIONES LABORALES POR DESVINCULACION</t>
  </si>
  <si>
    <t>PROPORCION DE VACACIONES</t>
  </si>
  <si>
    <t>COMP. HORAS EXTRAORDINARIAS</t>
  </si>
  <si>
    <t>COMP. HORAS EXTRAORDINARIAS FIN DE AÑO</t>
  </si>
  <si>
    <t>510101000300020005</t>
  </si>
  <si>
    <t>PRIMA DE TRANSPORTE</t>
  </si>
  <si>
    <t>510101000300020006</t>
  </si>
  <si>
    <t>COMP. SERVICIO DE SEGURIDAD</t>
  </si>
  <si>
    <t>510101000300020009</t>
  </si>
  <si>
    <t>COMP. POR RESULTADOS</t>
  </si>
  <si>
    <t>510101000300020015</t>
  </si>
  <si>
    <t>BONOS POR DESEMPEÑO</t>
  </si>
  <si>
    <t>BENEFICIO ACUERDO DE DESEMPEÑO</t>
  </si>
  <si>
    <t>GASTOS DE REPRESENTACION</t>
  </si>
  <si>
    <t>51010100080001</t>
  </si>
  <si>
    <t>DIETAS EN EL PAIS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</si>
  <si>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</si>
  <si>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</si>
  <si>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</si>
  <si>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</si>
  <si>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</si>
  <si>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</si>
  <si>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</si>
  <si>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</si>
  <si>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</si>
  <si>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</si>
  <si>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510102000100010004</t>
  </si>
  <si>
    <t>TELEFAX Y CORREO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</si>
  <si>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</si>
  <si>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</si>
  <si>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</si>
  <si>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</si>
  <si>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</si>
  <si>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</si>
  <si>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</si>
  <si>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</si>
  <si>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510102000100030001</t>
  </si>
  <si>
    <t>PUBLICIDAD Y PROPAGANDA</t>
  </si>
  <si>
    <t>510102000100030002</t>
  </si>
  <si>
    <t>IMPRESIÓN Y ENCUADERNACION</t>
  </si>
  <si>
    <t>510102000100040001</t>
  </si>
  <si>
    <t>VIATICOS DENTRO DEL PAIS</t>
  </si>
  <si>
    <t>510102000100040002</t>
  </si>
  <si>
    <t>VIATICOS FUERA DEL PAIS</t>
  </si>
  <si>
    <t>510102000100050001</t>
  </si>
  <si>
    <t>PASAJE</t>
  </si>
  <si>
    <t>510102000100050002</t>
  </si>
  <si>
    <t>FLETE</t>
  </si>
  <si>
    <t>510102000100050004</t>
  </si>
  <si>
    <t>PEAJE</t>
  </si>
  <si>
    <t>510102000100060001</t>
  </si>
  <si>
    <t>ALQUILERES Y RENTA DE EDIFICIOS</t>
  </si>
  <si>
    <t>ALQUILER DE EQUIPOS DE COMPUTACION</t>
  </si>
  <si>
    <t>ALQUILERES DE EQUIPOS DE COMUNICACIÓN</t>
  </si>
  <si>
    <t>ALQUILER DE EQUIPOS DE OFICINA Y MUEBLES</t>
  </si>
  <si>
    <t>510102000100060008</t>
  </si>
  <si>
    <t>ALQ. EQUIPOS DE TRANSPORTE, TRACCION Y ELEV.</t>
  </si>
  <si>
    <t>510102000100069999</t>
  </si>
  <si>
    <t>OTROS ALQUILERES</t>
  </si>
  <si>
    <t>SEGURO DE BIENES INMUEBLES E INFRAESTRUCTURA</t>
  </si>
  <si>
    <t>510102000100070002</t>
  </si>
  <si>
    <t>SEGURO DE BIENES MUEBLES</t>
  </si>
  <si>
    <t>510102000100070003</t>
  </si>
  <si>
    <t>SEGUROS DE PERSONAS</t>
  </si>
  <si>
    <t>510102000100080001</t>
  </si>
  <si>
    <t>CONTRATACIONES DE OBRAS MENORES</t>
  </si>
  <si>
    <t>510102000100090003</t>
  </si>
  <si>
    <t>SERV. ESP. DE MANTENIMIENTO Y REP.</t>
  </si>
  <si>
    <t>MANT. Y REP. OBRAS CIVILES EN INST.</t>
  </si>
  <si>
    <t>510102000100080004</t>
  </si>
  <si>
    <t xml:space="preserve"> MANTENIMIENTO Y REP.INSTALACIONES ELECTRICAS</t>
  </si>
  <si>
    <t>SERV. DE PINTURA Y DERIVADOS CON FIN DE HIG. Y EMB.</t>
  </si>
  <si>
    <t>510102000100090005</t>
  </si>
  <si>
    <t>MANT. Y REPARACION DE EQUIPOS EDUCACIONAL</t>
  </si>
  <si>
    <t>MANT. Y REPARACION DE EQUIPOS DE COMP-</t>
  </si>
  <si>
    <t>MANT. Y REPARACION DE EQUIPOS DE OFICINA Y MUEBLES</t>
  </si>
  <si>
    <t>510102000100090006</t>
  </si>
  <si>
    <t>MANT. Y REPARACION DE EQUIPOS SANITARIOS Y DE LAB.</t>
  </si>
  <si>
    <t>510102000100090008</t>
  </si>
  <si>
    <t>MANT. Y REPARACION DE EQUIPOS DE TRANSP-, TRACC. Y ELEV.</t>
  </si>
  <si>
    <t>SERVICIOS DE MANT. REP., DESMONTE E INST.</t>
  </si>
  <si>
    <t>510102000109990002</t>
  </si>
  <si>
    <t>COMISIONES Y GASTOS BANCARIOS</t>
  </si>
  <si>
    <t>SERVICIOS SANITARIOS MEDICOS Y VETERINARIOS</t>
  </si>
  <si>
    <t>510102000109990004</t>
  </si>
  <si>
    <t>SERVICIOS FUNERARIOS Y GASTOS CONEXOS</t>
  </si>
  <si>
    <t>510102000100020006</t>
  </si>
  <si>
    <t>FUMIGACION</t>
  </si>
  <si>
    <t>510102000100020007</t>
  </si>
  <si>
    <t>LAVANDERIA</t>
  </si>
  <si>
    <t>510102000100020008</t>
  </si>
  <si>
    <t>LIMPIEZA E HIGIENE</t>
  </si>
  <si>
    <t>510102000109990009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</si>
  <si>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</si>
  <si>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</si>
  <si>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</si>
  <si>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</si>
  <si>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</si>
  <si>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</si>
  <si>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510102000109990006</t>
  </si>
  <si>
    <t>SERVICIOS TECNICOS PROFESIONALES</t>
  </si>
  <si>
    <t>510102000109990007</t>
  </si>
  <si>
    <t>IMPUESTOS</t>
  </si>
  <si>
    <t>TASAS</t>
  </si>
  <si>
    <t>OTRAS CONTRATACIONES DE SERVICIOS</t>
  </si>
  <si>
    <t>SERVICIOS DE ALIMENTACION</t>
  </si>
  <si>
    <t>MATERIALES Y SUMINISTROS</t>
  </si>
  <si>
    <t>510102000200010001</t>
  </si>
  <si>
    <t>ALIMENTOS Y BEBIDAS PARA PERSONAS</t>
  </si>
  <si>
    <t>510102000200010006</t>
  </si>
  <si>
    <t>PRODUCTOS AGROFORESTALES Y P.</t>
  </si>
  <si>
    <t>510102000200010007</t>
  </si>
  <si>
    <t>MADERA, CORCHO Y SUS MANUFACTURAS</t>
  </si>
  <si>
    <t>510102000200020001</t>
  </si>
  <si>
    <t>HILADOS Y TELAS</t>
  </si>
  <si>
    <t>510102000200020002</t>
  </si>
  <si>
    <t>ACABADOS TEXTILES</t>
  </si>
  <si>
    <t>510102000200020003</t>
  </si>
  <si>
    <t>PRENDAS DE VESTIR</t>
  </si>
  <si>
    <t>510102000200020004</t>
  </si>
  <si>
    <t>CALZADO</t>
  </si>
  <si>
    <t>510102000200030001</t>
  </si>
  <si>
    <t>PAPEL DE ESCRITORIO</t>
  </si>
  <si>
    <t>510102000200030002</t>
  </si>
  <si>
    <t>PRODUCTOS DE PAPEL Y CARTON</t>
  </si>
  <si>
    <t>510102000200030003</t>
  </si>
  <si>
    <t>PRODUCTOS DE ARTES GRAFICAS</t>
  </si>
  <si>
    <t>510102000200030004</t>
  </si>
  <si>
    <t>LIBROS, REVISTAS Y PERIODICOS</t>
  </si>
  <si>
    <t>510102000200030006</t>
  </si>
  <si>
    <t>ESPECIES TIMBRADAS</t>
  </si>
  <si>
    <t>510102000200040001</t>
  </si>
  <si>
    <t>PRODUCTOS MEDICOS PARA USO HUMANO</t>
  </si>
  <si>
    <t>510102000200050001</t>
  </si>
  <si>
    <t>CUEROS Y PIELES</t>
  </si>
  <si>
    <t>510102000200050002</t>
  </si>
  <si>
    <t>ARTICULOS DE CUERO</t>
  </si>
  <si>
    <t>510102000200050003</t>
  </si>
  <si>
    <t>LLANTAS Y NEUMATICOS</t>
  </si>
  <si>
    <t>510102000200050004</t>
  </si>
  <si>
    <t>ARTICULOS DE CAUCHO</t>
  </si>
  <si>
    <t>510102000200050005</t>
  </si>
  <si>
    <t>ARTICULOS DE PLASTICOS</t>
  </si>
  <si>
    <t>510102000200060001</t>
  </si>
  <si>
    <t>PRODUCTOS DE CEMENTO</t>
  </si>
  <si>
    <t>PRODUCTOS DE CAL</t>
  </si>
  <si>
    <t>510102000200060004</t>
  </si>
  <si>
    <t>PRODUCTOS DE YESO</t>
  </si>
  <si>
    <t>510102000200060006</t>
  </si>
  <si>
    <t>PRODUCTOS DE VIDRIO</t>
  </si>
  <si>
    <t>510102000200060007</t>
  </si>
  <si>
    <t>PRODUCTOS DE LOZA</t>
  </si>
  <si>
    <t>510102000200060008</t>
  </si>
  <si>
    <t>PRODUCTOS DE PORCELANA</t>
  </si>
  <si>
    <t>510102000200060009</t>
  </si>
  <si>
    <t>PRODUCTOS FERROSOS</t>
  </si>
  <si>
    <t>5101020002000600011</t>
  </si>
  <si>
    <t>ESTRUCTURAS METALICAS</t>
  </si>
  <si>
    <t>510102000200060003</t>
  </si>
  <si>
    <t>HERRAMIENTAS MENORES</t>
  </si>
  <si>
    <t>PRODUCTO METALICOS</t>
  </si>
  <si>
    <t>OTROS PRODUCTOS METALICOS</t>
  </si>
  <si>
    <t>CARBON MINERAL</t>
  </si>
  <si>
    <t>510102000200040003</t>
  </si>
  <si>
    <t>GASOLINA</t>
  </si>
  <si>
    <t>510102000200040004</t>
  </si>
  <si>
    <t>GASOIL</t>
  </si>
  <si>
    <t>510102000200040006</t>
  </si>
  <si>
    <t>GAS GLP</t>
  </si>
  <si>
    <t>510102000200040007</t>
  </si>
  <si>
    <t>ACEITE Y GRASA</t>
  </si>
  <si>
    <t>510102000200040008</t>
  </si>
  <si>
    <t>LUBRICANTES</t>
  </si>
  <si>
    <t>PRODUCTO EXPLOSIVOS Y PIROTECNIA</t>
  </si>
  <si>
    <t>510102000200040012</t>
  </si>
  <si>
    <t>PRODUCTOS QUIMICOS DE USO PERSONAL</t>
  </si>
  <si>
    <t>510102000200040014</t>
  </si>
  <si>
    <t>INCECTICIDAS, FUMIGANTES Y OTROS</t>
  </si>
  <si>
    <t>510102000200040015</t>
  </si>
  <si>
    <t>PINTURAS, BARNICES</t>
  </si>
  <si>
    <t>OTROS PRODUCTO QUIMICOS Y CONEXO</t>
  </si>
  <si>
    <t>510102000200070001</t>
  </si>
  <si>
    <t>MATERIALES DE LIMPIEZA</t>
  </si>
  <si>
    <t>510102000200070002</t>
  </si>
  <si>
    <t>UTILES DE ESCRITORIO, OFICINA Y ENSEÑANZAS</t>
  </si>
  <si>
    <t>UTILES MENORES MEDICO QUIRURGICO Y DE LABORATORIO</t>
  </si>
  <si>
    <t>510102000200070005</t>
  </si>
  <si>
    <t>UTILES DE COCINA</t>
  </si>
  <si>
    <t>510102000200070006</t>
  </si>
  <si>
    <t>PRODUCTOS ELECTRICOS Y AFINES</t>
  </si>
  <si>
    <t>510102000200070008</t>
  </si>
  <si>
    <t>OTROS REPUESTOS Y ACCESORIOS</t>
  </si>
  <si>
    <t>510102000200070999</t>
  </si>
  <si>
    <t>UTILES DIVERSOS</t>
  </si>
  <si>
    <t>PRODUCT. Y UTILES VARIOS P/ACT. FESTIVAS</t>
  </si>
  <si>
    <t>PRODUCTOS Y UTILES DE DEFENSA NACIONAL</t>
  </si>
  <si>
    <t>PRODUCTO Y UTILES DIVERSOS</t>
  </si>
  <si>
    <t>TRANSFERENCIAS CORRIENTES AL SECTOR PUBLICO</t>
  </si>
  <si>
    <t>51040100020001</t>
  </si>
  <si>
    <t>INDEMNIZACION LABORAL</t>
  </si>
  <si>
    <t>51040100020002</t>
  </si>
  <si>
    <t>AYUDAS Y DONACIONES PROGRAMADAS. A HOG. Y PERSONAS</t>
  </si>
  <si>
    <t>51040100020007</t>
  </si>
  <si>
    <t>AYUDAS Y DON. OCASIONALES A HOG. Y PERS.</t>
  </si>
  <si>
    <t>BECAS Y VIAJES DE ESTUDIO</t>
  </si>
  <si>
    <t>51040100020009</t>
  </si>
  <si>
    <t>BECAS EXTRANJERAS</t>
  </si>
  <si>
    <t>TRANSFERENCIAS CORRIENTES A EMPRESAS PRIVADAS</t>
  </si>
  <si>
    <t>TRANSFERENCIAS CORRIENTES A ASOC. S/FINES DE LUCRO</t>
  </si>
  <si>
    <t>TRANSF. CORRIENTE OCAS. A ASOC.</t>
  </si>
  <si>
    <t>DISMINUCIÓN DE CUENTAS POR PAGAR A CORTO PLAZO</t>
  </si>
  <si>
    <t>DISMINUCIÓN DE OTROS PASIVOS CONTINGENTES</t>
  </si>
  <si>
    <t>5101990001</t>
  </si>
  <si>
    <t>TRANSFER. CORRIENTE A EMP. PUBL. NO FIN.</t>
  </si>
  <si>
    <t>GASTOS DE DEPRECIACION</t>
  </si>
  <si>
    <t>A3211101</t>
  </si>
  <si>
    <t>APERTURA CAJA CHICA</t>
  </si>
  <si>
    <t>PARA CERRAR LOS GASTOS OPERACIONALES</t>
  </si>
  <si>
    <t>UTILIDAD DEL PERIODO</t>
  </si>
  <si>
    <t>PARA CERRAR LA CTA DE RESUMEN DE INGRESOS Y GASTOS</t>
  </si>
  <si>
    <t>PARA TRANSFERIR LA UTILIDAD DEL PERIODO A LA CTA DE PATRIMONIO</t>
  </si>
  <si>
    <t>TOTALES</t>
  </si>
  <si>
    <t>CTA. CONTABLE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</si>
  <si>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</si>
  <si>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</si>
  <si>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</si>
  <si>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</si>
  <si>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</si>
  <si>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</si>
  <si>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</si>
  <si>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</si>
  <si>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</si>
  <si>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</si>
  <si>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</si>
  <si>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</si>
  <si>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</si>
  <si>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</si>
  <si>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</si>
  <si>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</si>
  <si>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</si>
  <si>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</si>
  <si>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</si>
  <si>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</si>
  <si>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</si>
  <si>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</si>
  <si>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</si>
  <si>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OBRAS EN EDIFICACION</t>
  </si>
  <si>
    <t>1206030005</t>
  </si>
  <si>
    <t>OBRAS PARA EDIFICACIONES NO RESIDENCIALES</t>
  </si>
  <si>
    <t>1206030008</t>
  </si>
  <si>
    <t>SUPERVISION E INPECCION DE OBRA EN EDIF.</t>
  </si>
  <si>
    <t>PREP. POR: Lic.</t>
  </si>
  <si>
    <t>Enc. Div. Contabilidad</t>
  </si>
  <si>
    <t>Al 28/02/2022</t>
  </si>
  <si>
    <t>TOTAL PERIODO 2022  FEBRERO</t>
  </si>
  <si>
    <t>LICENCIAS DE INFORMATICAS</t>
  </si>
  <si>
    <t>ACCESORIOS</t>
  </si>
  <si>
    <t>Al 31/03/2022</t>
  </si>
  <si>
    <t>Lic. Paulino FELIZ</t>
  </si>
  <si>
    <t>Enc. de Contabilidad</t>
  </si>
  <si>
    <t>TOTAL PERIODO 2022  MARZO</t>
  </si>
  <si>
    <t>A3211101APERTURA CAJA CHICA</t>
  </si>
  <si>
    <t>ACCESORIO PARA EDIFICACIONES RESIDENCIALES Y NO RESIDENCIALES</t>
  </si>
  <si>
    <t>TOTAL PERIODO 2022  ABRIL</t>
  </si>
  <si>
    <t>OTROS GASTOS POR INDEMNIZACIONES Y COMPENSACIONES</t>
  </si>
  <si>
    <t>SERVICIOS DE CATERING</t>
  </si>
  <si>
    <t>TOTAL PERIODO 2022 MAYO</t>
  </si>
  <si>
    <t>MINERALES METALIFEROS</t>
  </si>
  <si>
    <t>Al 31/05/2022</t>
  </si>
  <si>
    <t>Lic. Bernys Perez Meran</t>
  </si>
  <si>
    <t>Al 30/06/2022</t>
  </si>
  <si>
    <t>TOTAL PERIODO 2022 JUNIO</t>
  </si>
  <si>
    <t>TOTAL PERIODO 2022 JULIO</t>
  </si>
  <si>
    <t>SUELDO 13</t>
  </si>
  <si>
    <t>PUBLICACIONES DE AVISOS OFICIALES</t>
  </si>
  <si>
    <t>PASAJE Y GASTOS DE TRANSPORTE</t>
  </si>
  <si>
    <t>TASAS 10%</t>
  </si>
  <si>
    <t>TASAS 5%</t>
  </si>
  <si>
    <t>TASAS 18%</t>
  </si>
  <si>
    <t>PREPARADO POR:</t>
  </si>
  <si>
    <t>Dayrobi Ozoria Medina</t>
  </si>
  <si>
    <t>Al 31/07/2022</t>
  </si>
  <si>
    <t>Saldos en RD$ Pesos Dominicanos</t>
  </si>
  <si>
    <t xml:space="preserve">Licda. Dayrobi Ozoria Medina </t>
  </si>
  <si>
    <t>Encargada de Contabilidad</t>
  </si>
  <si>
    <t>TOTAL PERIODO 2022 AGOSTO</t>
  </si>
  <si>
    <t>PRESUPUESTO DISPONIBLE</t>
  </si>
  <si>
    <t>Al 31/08/2022</t>
  </si>
  <si>
    <t>Presupuesto disponible</t>
  </si>
  <si>
    <t>TOTAL PERIODO 2022 SEPTIEMBRE</t>
  </si>
  <si>
    <t>Al 31/09/2022</t>
  </si>
  <si>
    <t>TOTAL PERIODO 2022 OCTUBRE</t>
  </si>
  <si>
    <t>MANT. Y REPARACION DE EQUIPOS INDUSTRIALES</t>
  </si>
  <si>
    <t>Al 31/10/2022</t>
  </si>
  <si>
    <t>Al 30/11/2022</t>
  </si>
  <si>
    <t>TOTAL PERIODO 2022 NOVIEMBRE</t>
  </si>
  <si>
    <t>ITBIS</t>
  </si>
  <si>
    <t>Al 31/12/2022</t>
  </si>
  <si>
    <t>ESTADO DE RESULTADOS</t>
  </si>
  <si>
    <t>TOTAL PERIODO 2022 DICIEMBRE</t>
  </si>
  <si>
    <t>TOTAL GENERAL</t>
  </si>
  <si>
    <t>MATERIALES DE LIMPIEZA PERSONAL</t>
  </si>
  <si>
    <t>REVISADO POR:</t>
  </si>
  <si>
    <t>Manuel Florian Labourt</t>
  </si>
  <si>
    <t>Enc. Departamento Financiero</t>
  </si>
  <si>
    <t>Al 31/03/2021</t>
  </si>
  <si>
    <t>TOTAL PERIODO 2021  MARZO</t>
  </si>
  <si>
    <t>INSTALACIONES ELECTRICAS</t>
  </si>
  <si>
    <t>MINERALES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</si>
  <si>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</si>
  <si>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</si>
  <si>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</si>
  <si>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</si>
  <si>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</si>
  <si>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</si>
  <si>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</si>
  <si>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</si>
  <si>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 xml:space="preserve">12080100050001 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</si>
  <si>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</si>
  <si>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</si>
  <si>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</si>
  <si>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</si>
  <si>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 xml:space="preserve">2do. Enviarnos vía correo las informaciones y documentaciones referente al tema para </t>
  </si>
  <si>
    <t>el ajuste de esta cuenta., para proceder con el ajuste.</t>
  </si>
  <si>
    <t>3ro. en caso de que estas estén vencidas debe infórmanos para realizar el ajuste.</t>
  </si>
  <si>
    <t xml:space="preserve">La cuenta contable numero 12080100050001    LICENCIAS INFORMÁTICAS, al 31 de diciembre 2020, no debe </t>
  </si>
  <si>
    <t>tener saldo en contabilidad SIGEF.</t>
  </si>
  <si>
    <t>Favor tramitar por esta vía las evidencias para el desmonte de este saldo.</t>
  </si>
  <si>
    <t>Licdo Manuel Florian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</si>
</sst>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3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4" fontId="0" fillId="5" borderId="4" xfId="0" applyNumberFormat="1" applyFill="1" applyBorder="1"/>
    <xf numFmtId="164" fontId="15" fillId="5" borderId="4" xfId="0" applyNumberFormat="1" applyFont="1" applyFill="1" applyBorder="1"/>
    <xf numFmtId="164" fontId="0" fillId="5" borderId="4" xfId="0" applyNumberFormat="1" applyFill="1" applyBorder="1"/>
    <xf numFmtId="164" fontId="7" fillId="5" borderId="4" xfId="1" applyFont="1" applyFill="1" applyBorder="1"/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4" fillId="5" borderId="4" xfId="1" applyFont="1" applyFill="1" applyBorder="1"/>
    <xf numFmtId="0" fontId="0" fillId="5" borderId="4" xfId="0" applyFill="1" applyBorder="1" applyAlignment="1">
      <alignment horizontal="left"/>
    </xf>
    <xf numFmtId="164" fontId="13" fillId="5" borderId="4" xfId="1" applyFont="1" applyFill="1" applyBorder="1"/>
    <xf numFmtId="164" fontId="0" fillId="2" borderId="4" xfId="1" applyFont="1" applyFill="1" applyBorder="1"/>
    <xf numFmtId="4" fontId="0" fillId="2" borderId="4" xfId="0" applyNumberFormat="1" applyFill="1" applyBorder="1"/>
    <xf numFmtId="4" fontId="0" fillId="2" borderId="0" xfId="0" applyNumberFormat="1" applyFill="1"/>
    <xf numFmtId="164" fontId="0" fillId="6" borderId="4" xfId="1" applyFont="1" applyFill="1" applyBorder="1"/>
    <xf numFmtId="164" fontId="0" fillId="7" borderId="4" xfId="1" applyFont="1" applyFill="1" applyBorder="1"/>
    <xf numFmtId="164" fontId="0" fillId="8" borderId="4" xfId="1" applyFont="1" applyFill="1" applyBorder="1"/>
    <xf numFmtId="164" fontId="0" fillId="9" borderId="4" xfId="1" applyFont="1" applyFill="1" applyBorder="1"/>
    <xf numFmtId="39" fontId="4" fillId="5" borderId="0" xfId="1" applyNumberFormat="1" applyFont="1" applyFill="1"/>
    <xf numFmtId="164" fontId="0" fillId="4" borderId="4" xfId="1" applyFont="1" applyFill="1" applyBorder="1"/>
    <xf numFmtId="0" fontId="3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4" fontId="4" fillId="0" borderId="4" xfId="1" applyFont="1" applyBorder="1"/>
    <xf numFmtId="0" fontId="0" fillId="5" borderId="0" xfId="0" applyFill="1" applyAlignment="1">
      <alignment horizontal="left"/>
    </xf>
    <xf numFmtId="0" fontId="0" fillId="5" borderId="0" xfId="0" applyFill="1" applyAlignment="1">
      <alignment wrapText="1"/>
    </xf>
    <xf numFmtId="164" fontId="4" fillId="5" borderId="0" xfId="1" applyFont="1" applyFill="1" applyBorder="1"/>
    <xf numFmtId="39" fontId="4" fillId="0" borderId="0" xfId="1" applyNumberFormat="1" applyFont="1" applyAlignment="1">
      <alignment horizontal="center"/>
    </xf>
    <xf numFmtId="0" fontId="4" fillId="0" borderId="0" xfId="0" applyFont="1"/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164" fontId="1" fillId="5" borderId="4" xfId="1" applyFont="1" applyFill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5" borderId="2" xfId="0" applyFont="1" applyFill="1" applyBorder="1" applyAlignment="1">
      <alignment horizontal="right"/>
    </xf>
    <xf numFmtId="0" fontId="15" fillId="5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562671-9B93-4910-90F2-D0343B71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1FC8354-B773-477C-AC76-A618DE478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FD41D49-5CA2-4132-AC39-8B30E96B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1</xdr:col>
      <xdr:colOff>539750</xdr:colOff>
      <xdr:row>5</xdr:row>
      <xdr:rowOff>95176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99ED080-D4C4-4409-9527-7078C8C0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177925" cy="110482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1008674</xdr:colOff>
      <xdr:row>5</xdr:row>
      <xdr:rowOff>12630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CE7F732-6F11-4C7B-A25F-B19436F83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903899" cy="86108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2</xdr:col>
      <xdr:colOff>15875</xdr:colOff>
      <xdr:row>6</xdr:row>
      <xdr:rowOff>18976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DA05D8F-5D17-4CC1-9366-B00282792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174750" cy="110482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1161074</xdr:colOff>
      <xdr:row>5</xdr:row>
      <xdr:rowOff>79305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A50BDBB-6738-4142-B6ED-656328848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903899" cy="86108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2</xdr:col>
      <xdr:colOff>349250</xdr:colOff>
      <xdr:row>6</xdr:row>
      <xdr:rowOff>133276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12FC2D2-816B-4846-8F18-A7515E750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355725" cy="121912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1313474</xdr:colOff>
      <xdr:row>5</xdr:row>
      <xdr:rowOff>145980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F3C4F9-C636-443E-9AB4-74CAF456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1056299" cy="92776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2</xdr:col>
      <xdr:colOff>682625</xdr:colOff>
      <xdr:row>7</xdr:row>
      <xdr:rowOff>57076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3EB5B5C-8F10-4A36-91E5-4A6B191A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689100" cy="1333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1618274</xdr:colOff>
      <xdr:row>6</xdr:row>
      <xdr:rowOff>22155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E5881BB-BF1C-4B64-8A1D-EF65DAC3B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1208699" cy="99443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0</xdr:col>
      <xdr:colOff>1136411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28E4E13-A7C6-46DF-BF1A-226CBF9C3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4"/>
          <a:ext cx="1136411" cy="70485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57150</xdr:rowOff>
    </xdr:from>
    <xdr:to>
      <xdr:col>2</xdr:col>
      <xdr:colOff>388478</xdr:colOff>
      <xdr:row>5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2CD82CC-3454-428E-87AD-7C58DA0CD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50"/>
          <a:ext cx="1728328" cy="107632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0</xdr:col>
      <xdr:colOff>1323975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EC5B65-D569-4A3A-BD3A-523658C4C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1450"/>
          <a:ext cx="1219200" cy="8191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153854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BE5436F-47E2-4E8A-9E93-CF722ED2B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A77BFDC-B211-4EB0-A14E-B0CAFBE0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02EBFC-C4CC-4B6B-9FF9-C32E5F15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34519D3-4B6B-4CC4-9EEB-336A48A9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3" zoomScaleNormal="100" workbookViewId="0">
      <selection activeCell="AB27" sqref="AB2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4</v>
      </c>
    </row>
    <row r="6" spans="1:27" x14ac:dyDescent="0.25">
      <c r="A6" t="s">
        <v>5</v>
      </c>
    </row>
    <row r="7" spans="1:27" x14ac:dyDescent="0.25">
      <c r="A7" t="s">
        <v>6</v>
      </c>
    </row>
    <row r="8" spans="1:27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40" t="s">
        <v>17</v>
      </c>
    </row>
    <row r="9" spans="1:27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22</v>
      </c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8">
        <v>94420743.939999998</v>
      </c>
    </row>
    <row r="12" spans="1:27" x14ac:dyDescent="0.25">
      <c r="A12" t="s">
        <v>24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441935547.05000001</v>
      </c>
    </row>
    <row r="13" spans="1:27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9768207.2300000004</v>
      </c>
    </row>
    <row r="14" spans="1:27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f>+Y14</f>
        <v>400686</v>
      </c>
    </row>
    <row r="15" spans="1:27" x14ac:dyDescent="0.25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42">
        <f>SUM(Z11:Z14)</f>
        <v>546525184.22000003</v>
      </c>
    </row>
    <row r="17" spans="1:28" x14ac:dyDescent="0.25">
      <c r="A17" t="s">
        <v>28</v>
      </c>
    </row>
    <row r="18" spans="1:28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498998348.44999999</v>
      </c>
    </row>
    <row r="19" spans="1:28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8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-156051825.75</v>
      </c>
      <c r="AA20" s="61"/>
      <c r="AB20" s="37"/>
    </row>
    <row r="21" spans="1:28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-39332582.359999999</v>
      </c>
      <c r="AA21" s="61"/>
    </row>
    <row r="22" spans="1:28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368295488.12</v>
      </c>
    </row>
    <row r="23" spans="1:28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 t="shared" si="7"/>
        <v>914820672.34000003</v>
      </c>
    </row>
    <row r="24" spans="1:28" ht="15.75" thickTop="1" x14ac:dyDescent="0.25"/>
    <row r="25" spans="1:28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8" x14ac:dyDescent="0.25">
      <c r="A26" t="s">
        <v>22</v>
      </c>
    </row>
    <row r="27" spans="1:28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8" x14ac:dyDescent="0.25">
      <c r="A28" t="s">
        <v>37</v>
      </c>
    </row>
    <row r="29" spans="1:28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17336348.879999999</v>
      </c>
    </row>
    <row r="30" spans="1:28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17336348.879999999</v>
      </c>
    </row>
    <row r="32" spans="1:28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17336348.879999999</v>
      </c>
      <c r="AD33" s="37"/>
      <c r="AE33" s="1"/>
    </row>
    <row r="35" spans="1:31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39">
        <v>-431566091.75</v>
      </c>
      <c r="AD39" s="37"/>
    </row>
    <row r="40" spans="1:31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897484323.4599998</v>
      </c>
      <c r="AE40" s="37"/>
    </row>
    <row r="41" spans="1:31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Y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>+Z33+Z40</f>
        <v>914820672.33999979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A44" s="34" t="s">
        <v>50</v>
      </c>
      <c r="G44" s="1">
        <f>+G41-G23</f>
        <v>0</v>
      </c>
    </row>
    <row r="45" spans="1:31" x14ac:dyDescent="0.25">
      <c r="A45" t="s">
        <v>51</v>
      </c>
    </row>
    <row r="48" spans="1:31" x14ac:dyDescent="0.25">
      <c r="A48" t="s">
        <v>52</v>
      </c>
    </row>
    <row r="49" spans="1:1" x14ac:dyDescent="0.25">
      <c r="A49" s="34" t="s">
        <v>53</v>
      </c>
    </row>
    <row r="50" spans="1:1" x14ac:dyDescent="0.25">
      <c r="A50" t="s">
        <v>54</v>
      </c>
    </row>
    <row r="261" spans="27:27" x14ac:dyDescent="0.25">
      <c r="AA261" t="s">
        <v>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9" zoomScaleNormal="100" workbookViewId="0">
      <selection activeCell="AD37" sqref="AD3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4</v>
      </c>
    </row>
    <row r="6" spans="1:27" x14ac:dyDescent="0.25">
      <c r="A6" t="s">
        <v>365</v>
      </c>
    </row>
    <row r="7" spans="1:27" x14ac:dyDescent="0.25">
      <c r="A7" t="s">
        <v>6</v>
      </c>
    </row>
    <row r="8" spans="1:27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40" t="s">
        <v>18</v>
      </c>
    </row>
    <row r="9" spans="1:27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22</v>
      </c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8">
        <v>560565104.03999996</v>
      </c>
    </row>
    <row r="12" spans="1:27" x14ac:dyDescent="0.25">
      <c r="A12" t="s">
        <v>24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265369045.74000001</v>
      </c>
    </row>
    <row r="13" spans="1:27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17648901.059999999</v>
      </c>
    </row>
    <row r="14" spans="1:27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81">
        <f>SUM(Z11:Z14)</f>
        <v>843583050.83999991</v>
      </c>
    </row>
    <row r="16" spans="1:27" x14ac:dyDescent="0.25">
      <c r="Z16" s="61"/>
    </row>
    <row r="17" spans="1:27" x14ac:dyDescent="0.25">
      <c r="A17" t="s">
        <v>28</v>
      </c>
      <c r="Z17" s="61"/>
    </row>
    <row r="18" spans="1:27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509237090.08999997</v>
      </c>
    </row>
    <row r="19" spans="1:27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64819607.780000001</v>
      </c>
    </row>
    <row r="20" spans="1:27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-164252790.36000001</v>
      </c>
      <c r="AA20" s="61"/>
    </row>
    <row r="21" spans="1:27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42227827.270000003</v>
      </c>
      <c r="AA21" s="61"/>
    </row>
    <row r="22" spans="1:27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452031734.77999997</v>
      </c>
    </row>
    <row r="23" spans="1:27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 t="shared" si="7"/>
        <v>1295614785.6199999</v>
      </c>
    </row>
    <row r="24" spans="1:27" ht="15.75" thickTop="1" x14ac:dyDescent="0.25"/>
    <row r="25" spans="1:27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22</v>
      </c>
    </row>
    <row r="27" spans="1:27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6055.23</v>
      </c>
    </row>
    <row r="28" spans="1:27" x14ac:dyDescent="0.25">
      <c r="A28" t="s">
        <v>37</v>
      </c>
      <c r="Z28" s="61"/>
    </row>
    <row r="29" spans="1:27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8797563.7699999996</v>
      </c>
    </row>
    <row r="30" spans="1:27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8803619</v>
      </c>
    </row>
    <row r="32" spans="1:27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8803619</v>
      </c>
      <c r="AD33" s="37"/>
      <c r="AE33" s="1"/>
    </row>
    <row r="35" spans="1:31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</f>
        <v>-42239248.590000033</v>
      </c>
      <c r="AD39" s="37"/>
    </row>
    <row r="40" spans="1:31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1286811166.6199999</v>
      </c>
      <c r="AE40" s="37"/>
    </row>
    <row r="41" spans="1:31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Y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>+Z33+Z40</f>
        <v>1295614785.6199999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A44" s="34" t="s">
        <v>366</v>
      </c>
      <c r="G44" s="1">
        <f>+G41-G23</f>
        <v>0</v>
      </c>
    </row>
    <row r="45" spans="1:31" x14ac:dyDescent="0.25">
      <c r="A45" t="s">
        <v>356</v>
      </c>
    </row>
    <row r="48" spans="1:31" x14ac:dyDescent="0.25">
      <c r="A48" t="s">
        <v>52</v>
      </c>
    </row>
    <row r="49" spans="1:1" x14ac:dyDescent="0.25">
      <c r="A49" s="34" t="s">
        <v>53</v>
      </c>
    </row>
    <row r="50" spans="1:1" x14ac:dyDescent="0.25">
      <c r="A50" t="s">
        <v>54</v>
      </c>
    </row>
    <row r="261" spans="27:27" x14ac:dyDescent="0.25">
      <c r="AA261" t="s">
        <v>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7" zoomScaleNormal="100" workbookViewId="0">
      <selection activeCell="Z23" sqref="Z23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4</v>
      </c>
    </row>
    <row r="6" spans="1:27" x14ac:dyDescent="0.25">
      <c r="A6" t="s">
        <v>367</v>
      </c>
    </row>
    <row r="7" spans="1:27" x14ac:dyDescent="0.25">
      <c r="A7" t="s">
        <v>6</v>
      </c>
    </row>
    <row r="8" spans="1:27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40" t="s">
        <v>10</v>
      </c>
    </row>
    <row r="9" spans="1:27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22</v>
      </c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8">
        <v>695668448.11000001</v>
      </c>
    </row>
    <row r="12" spans="1:27" x14ac:dyDescent="0.25">
      <c r="A12" t="s">
        <v>24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269991497.18000001</v>
      </c>
    </row>
    <row r="13" spans="1:27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20000676.800000001</v>
      </c>
    </row>
    <row r="14" spans="1:27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81">
        <f>SUM(Z11:Z14)</f>
        <v>985660622.08999991</v>
      </c>
    </row>
    <row r="16" spans="1:27" x14ac:dyDescent="0.25">
      <c r="Z16" s="61"/>
    </row>
    <row r="17" spans="1:26" x14ac:dyDescent="0.25">
      <c r="A17" t="s">
        <v>28</v>
      </c>
      <c r="Z17" s="61"/>
    </row>
    <row r="18" spans="1:26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523996804.88999999</v>
      </c>
    </row>
    <row r="19" spans="1:26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66507624.700000003</v>
      </c>
    </row>
    <row r="20" spans="1:26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-177105805.59999999</v>
      </c>
    </row>
    <row r="21" spans="1:26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44641381.159999996</v>
      </c>
    </row>
    <row r="22" spans="1:26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458040005.14999998</v>
      </c>
    </row>
    <row r="23" spans="1:26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 t="shared" si="7"/>
        <v>1443700627.2399998</v>
      </c>
    </row>
    <row r="24" spans="1:26" ht="15.75" thickTop="1" x14ac:dyDescent="0.25"/>
    <row r="25" spans="1:26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22</v>
      </c>
    </row>
    <row r="27" spans="1:26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8325.27</v>
      </c>
    </row>
    <row r="28" spans="1:26" x14ac:dyDescent="0.25">
      <c r="A28" t="s">
        <v>37</v>
      </c>
      <c r="Z28" s="61"/>
    </row>
    <row r="29" spans="1:26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8471820.25</v>
      </c>
    </row>
    <row r="30" spans="1:26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8480145.5199999996</v>
      </c>
    </row>
    <row r="32" spans="1:26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8480145.5199999996</v>
      </c>
      <c r="AD33" s="37"/>
      <c r="AE33" s="1"/>
    </row>
    <row r="35" spans="1:31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</f>
        <v>106170066.50999996</v>
      </c>
      <c r="AD39" s="37"/>
    </row>
    <row r="40" spans="1:31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1435220481.7199998</v>
      </c>
      <c r="AE40" s="37"/>
    </row>
    <row r="41" spans="1:31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Y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>+Z33+Z40</f>
        <v>1443700627.2399998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A44" s="34" t="s">
        <v>366</v>
      </c>
      <c r="G44" s="1">
        <f>+G41-G23</f>
        <v>0</v>
      </c>
    </row>
    <row r="45" spans="1:31" x14ac:dyDescent="0.25">
      <c r="A45" t="s">
        <v>356</v>
      </c>
    </row>
    <row r="48" spans="1:31" x14ac:dyDescent="0.25">
      <c r="A48" t="s">
        <v>52</v>
      </c>
    </row>
    <row r="49" spans="1:1" x14ac:dyDescent="0.25">
      <c r="A49" s="34" t="s">
        <v>53</v>
      </c>
    </row>
    <row r="50" spans="1:1" x14ac:dyDescent="0.25">
      <c r="A50" t="s">
        <v>54</v>
      </c>
    </row>
    <row r="261" spans="27:27" x14ac:dyDescent="0.25">
      <c r="AA261" t="s">
        <v>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zoomScale="120" zoomScaleNormal="120" zoomScaleSheetLayoutView="100" workbookViewId="0">
      <selection activeCell="D11" sqref="D11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368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>
        <f>SUM(D10:D14)</f>
        <v>901764333.26000011</v>
      </c>
      <c r="E9" s="71">
        <f>+E15</f>
        <v>901764333.26000011</v>
      </c>
    </row>
    <row r="10" spans="1:7" x14ac:dyDescent="0.25">
      <c r="A10" s="10" t="s">
        <v>64</v>
      </c>
      <c r="B10" s="7" t="s">
        <v>65</v>
      </c>
      <c r="C10" s="8" t="s">
        <v>66</v>
      </c>
      <c r="D10" s="53">
        <v>269991497.18000001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627584691.99000001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3138311.15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53">
        <v>1049832.94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" t="s">
        <v>77</v>
      </c>
      <c r="D15" s="9"/>
      <c r="E15" s="9">
        <f>SUM(D10:D14)</f>
        <v>901764333.26000011</v>
      </c>
    </row>
    <row r="16" spans="1:7" x14ac:dyDescent="0.25">
      <c r="A16" s="51"/>
      <c r="B16" s="51"/>
      <c r="C16" s="63" t="s">
        <v>78</v>
      </c>
      <c r="D16" s="64">
        <f>+D18+D23+D25+D28+D29+D33+D40+D41+D42+D44+D45+D46+D47+D48+D49+D50+D51+D53+D55+D57+D58+D67+D76+D77+D80+D82+D84+D88+D91+D92+D94+D96+D98+D99+D101+D103+D104+D108+D109+D116+D118+D119+D122+D128+D129+D134+D135+D136+D137+D139+D143+D144+D147+D148+D150+D185+D186+D187+D188+D203+D207</f>
        <v>52844000.909999982</v>
      </c>
      <c r="E16" s="64">
        <f>+D16</f>
        <v>52844000.909999982</v>
      </c>
    </row>
    <row r="17" spans="1:9" x14ac:dyDescent="0.25">
      <c r="A17" s="51"/>
      <c r="B17" s="51">
        <v>1</v>
      </c>
      <c r="C17" s="63" t="s">
        <v>79</v>
      </c>
      <c r="D17" s="57">
        <f>SUM(D18:D42)</f>
        <v>32977265.609999999</v>
      </c>
      <c r="E17" s="57" t="s">
        <v>3</v>
      </c>
    </row>
    <row r="18" spans="1:9" x14ac:dyDescent="0.25">
      <c r="A18" s="51" t="s">
        <v>80</v>
      </c>
      <c r="B18" s="51">
        <v>11101</v>
      </c>
      <c r="C18" s="52" t="s">
        <v>81</v>
      </c>
      <c r="D18" s="53">
        <f>19257336.2+875000</f>
        <v>20132336.199999999</v>
      </c>
      <c r="E18" s="53"/>
    </row>
    <row r="19" spans="1:9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30" x14ac:dyDescent="0.25">
      <c r="A22" s="10" t="s">
        <v>88</v>
      </c>
      <c r="B22" s="10">
        <v>11205</v>
      </c>
      <c r="C22" s="8" t="s">
        <v>89</v>
      </c>
      <c r="D22" s="65"/>
      <c r="E22" s="9"/>
    </row>
    <row r="23" spans="1:9" ht="30" x14ac:dyDescent="0.25">
      <c r="A23" s="10"/>
      <c r="B23" s="10">
        <v>11208</v>
      </c>
      <c r="C23" s="8" t="s">
        <v>90</v>
      </c>
      <c r="D23" s="65">
        <v>6720000</v>
      </c>
      <c r="E23" s="9"/>
    </row>
    <row r="24" spans="1:9" ht="30" x14ac:dyDescent="0.25">
      <c r="A24" s="10"/>
      <c r="B24" s="10">
        <v>11210</v>
      </c>
      <c r="C24" s="8" t="s">
        <v>91</v>
      </c>
      <c r="D24" s="53"/>
      <c r="E24" s="53"/>
    </row>
    <row r="25" spans="1:9" x14ac:dyDescent="0.25">
      <c r="A25" s="10"/>
      <c r="B25" s="10">
        <v>11211</v>
      </c>
      <c r="C25" s="8" t="s">
        <v>92</v>
      </c>
      <c r="D25" s="53">
        <v>49000</v>
      </c>
      <c r="E25" s="53"/>
    </row>
    <row r="26" spans="1:9" x14ac:dyDescent="0.25">
      <c r="A26" s="10" t="s">
        <v>93</v>
      </c>
      <c r="B26" s="10">
        <v>11401</v>
      </c>
      <c r="C26" s="8" t="s">
        <v>94</v>
      </c>
      <c r="D26" s="53"/>
      <c r="E26" s="53"/>
    </row>
    <row r="27" spans="1:9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30" x14ac:dyDescent="0.25">
      <c r="A28" s="10"/>
      <c r="B28" s="10">
        <v>11503</v>
      </c>
      <c r="C28" s="8" t="s">
        <v>97</v>
      </c>
      <c r="D28" s="53">
        <v>75000</v>
      </c>
      <c r="E28" s="53"/>
    </row>
    <row r="29" spans="1:9" x14ac:dyDescent="0.25">
      <c r="A29" s="10"/>
      <c r="B29" s="10">
        <v>11504</v>
      </c>
      <c r="C29" s="8" t="s">
        <v>98</v>
      </c>
      <c r="D29" s="53">
        <v>454637.73</v>
      </c>
      <c r="E29" s="53"/>
    </row>
    <row r="30" spans="1:9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100</v>
      </c>
      <c r="D31" s="53"/>
      <c r="E31" s="53"/>
    </row>
    <row r="32" spans="1:9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5" x14ac:dyDescent="0.25">
      <c r="A33" s="10" t="s">
        <v>103</v>
      </c>
      <c r="B33" s="10">
        <v>12205</v>
      </c>
      <c r="C33" s="8" t="s">
        <v>104</v>
      </c>
      <c r="D33" s="53">
        <v>1470000</v>
      </c>
      <c r="E33" s="53"/>
    </row>
    <row r="34" spans="1:5" x14ac:dyDescent="0.25">
      <c r="A34" s="10" t="s">
        <v>105</v>
      </c>
      <c r="B34" s="10">
        <v>12206</v>
      </c>
      <c r="C34" s="8" t="s">
        <v>106</v>
      </c>
      <c r="D34" s="53"/>
      <c r="E34" s="53"/>
    </row>
    <row r="35" spans="1:5" x14ac:dyDescent="0.25">
      <c r="A35" s="10" t="s">
        <v>107</v>
      </c>
      <c r="B35" s="10">
        <v>12209</v>
      </c>
      <c r="C35" s="8" t="s">
        <v>108</v>
      </c>
      <c r="D35" s="53"/>
      <c r="E35" s="53"/>
    </row>
    <row r="36" spans="1:5" x14ac:dyDescent="0.25">
      <c r="A36" s="10"/>
      <c r="B36" s="10">
        <v>12210</v>
      </c>
      <c r="C36" s="8" t="s">
        <v>109</v>
      </c>
      <c r="D36" s="53"/>
      <c r="E36" s="53"/>
    </row>
    <row r="37" spans="1:5" ht="30" x14ac:dyDescent="0.25">
      <c r="A37" s="10"/>
      <c r="B37" s="10">
        <v>12215</v>
      </c>
      <c r="C37" s="8" t="s">
        <v>100</v>
      </c>
      <c r="D37" s="53"/>
      <c r="E37" s="53"/>
    </row>
    <row r="38" spans="1:5" x14ac:dyDescent="0.25">
      <c r="A38" s="10"/>
      <c r="B38" s="10">
        <v>13201</v>
      </c>
      <c r="C38" s="8" t="s">
        <v>110</v>
      </c>
      <c r="D38" s="53"/>
      <c r="E38" s="53"/>
    </row>
    <row r="39" spans="1:5" x14ac:dyDescent="0.25">
      <c r="A39" s="10" t="s">
        <v>111</v>
      </c>
      <c r="B39" s="10">
        <v>13101</v>
      </c>
      <c r="C39" s="8" t="s">
        <v>112</v>
      </c>
      <c r="D39" s="53"/>
      <c r="E39" s="53"/>
    </row>
    <row r="40" spans="1:5" x14ac:dyDescent="0.25">
      <c r="A40" s="10" t="s">
        <v>113</v>
      </c>
      <c r="B40" s="10">
        <v>15101</v>
      </c>
      <c r="C40" s="8" t="s">
        <v>114</v>
      </c>
      <c r="D40" s="54">
        <f>1838008.85+62037.5</f>
        <v>1900046.35</v>
      </c>
      <c r="E40" s="53"/>
    </row>
    <row r="41" spans="1:5" x14ac:dyDescent="0.25">
      <c r="A41" s="10" t="s">
        <v>115</v>
      </c>
      <c r="B41" s="10">
        <v>15201</v>
      </c>
      <c r="C41" s="8" t="s">
        <v>116</v>
      </c>
      <c r="D41" s="53">
        <f>1847869.88+62125</f>
        <v>1909994.88</v>
      </c>
      <c r="E41" s="53"/>
    </row>
    <row r="42" spans="1:5" ht="30" x14ac:dyDescent="0.25">
      <c r="A42" s="10"/>
      <c r="B42" s="10">
        <v>15301</v>
      </c>
      <c r="C42" s="8" t="s">
        <v>117</v>
      </c>
      <c r="D42" s="53">
        <f>256625.45+9625</f>
        <v>266250.45</v>
      </c>
      <c r="E42" s="53"/>
    </row>
    <row r="43" spans="1:5" x14ac:dyDescent="0.25">
      <c r="A43" s="51"/>
      <c r="B43" s="51">
        <v>2</v>
      </c>
      <c r="C43" s="63" t="s">
        <v>118</v>
      </c>
      <c r="D43" s="57"/>
      <c r="E43" s="57"/>
    </row>
    <row r="44" spans="1:5" x14ac:dyDescent="0.25">
      <c r="A44" s="10" t="s">
        <v>119</v>
      </c>
      <c r="B44" s="10">
        <v>21201</v>
      </c>
      <c r="C44" s="8" t="s">
        <v>120</v>
      </c>
      <c r="D44" s="54">
        <v>21359.01</v>
      </c>
      <c r="E44" s="53"/>
    </row>
    <row r="45" spans="1:5" x14ac:dyDescent="0.25">
      <c r="A45" s="10" t="s">
        <v>121</v>
      </c>
      <c r="B45" s="10">
        <v>21301</v>
      </c>
      <c r="C45" s="8" t="s">
        <v>122</v>
      </c>
      <c r="D45" s="53">
        <v>126710.81</v>
      </c>
      <c r="E45" s="53"/>
    </row>
    <row r="46" spans="1:5" x14ac:dyDescent="0.25">
      <c r="A46" s="10" t="s">
        <v>123</v>
      </c>
      <c r="B46" s="10">
        <v>21401</v>
      </c>
      <c r="C46" s="8" t="s">
        <v>124</v>
      </c>
      <c r="D46" s="53">
        <v>2700</v>
      </c>
      <c r="E46" s="53"/>
    </row>
    <row r="47" spans="1:5" x14ac:dyDescent="0.25">
      <c r="A47" s="10" t="s">
        <v>125</v>
      </c>
      <c r="B47" s="10">
        <v>21501</v>
      </c>
      <c r="C47" s="8" t="s">
        <v>126</v>
      </c>
      <c r="D47" s="53">
        <v>2032308.8</v>
      </c>
      <c r="E47" s="53"/>
    </row>
    <row r="48" spans="1:5" x14ac:dyDescent="0.25">
      <c r="A48" s="10" t="s">
        <v>127</v>
      </c>
      <c r="B48" s="10">
        <v>21601</v>
      </c>
      <c r="C48" s="8" t="s">
        <v>128</v>
      </c>
      <c r="D48" s="53">
        <v>2318082.86</v>
      </c>
      <c r="E48" s="53"/>
    </row>
    <row r="49" spans="1:6" x14ac:dyDescent="0.25">
      <c r="A49" s="10" t="s">
        <v>129</v>
      </c>
      <c r="B49" s="10">
        <v>21701</v>
      </c>
      <c r="C49" s="8" t="s">
        <v>130</v>
      </c>
      <c r="D49" s="53">
        <f>67607+5940</f>
        <v>73547</v>
      </c>
      <c r="E49" s="53"/>
      <c r="F49" s="60"/>
    </row>
    <row r="50" spans="1:6" x14ac:dyDescent="0.25">
      <c r="A50" s="10" t="s">
        <v>131</v>
      </c>
      <c r="B50" s="10">
        <v>21801</v>
      </c>
      <c r="C50" s="8" t="s">
        <v>132</v>
      </c>
      <c r="D50" s="53">
        <f>2000+15080</f>
        <v>17080</v>
      </c>
      <c r="E50" s="53"/>
      <c r="F50" s="60"/>
    </row>
    <row r="51" spans="1:6" x14ac:dyDescent="0.25">
      <c r="A51" s="10" t="s">
        <v>133</v>
      </c>
      <c r="B51" s="10">
        <v>22101</v>
      </c>
      <c r="C51" s="8" t="s">
        <v>134</v>
      </c>
      <c r="D51" s="53">
        <v>23600</v>
      </c>
      <c r="E51" s="53"/>
      <c r="F51" s="60"/>
    </row>
    <row r="52" spans="1:6" x14ac:dyDescent="0.25">
      <c r="A52" s="10" t="s">
        <v>135</v>
      </c>
      <c r="B52" s="10">
        <v>22201</v>
      </c>
      <c r="C52" s="8" t="s">
        <v>136</v>
      </c>
      <c r="D52" s="53"/>
      <c r="E52" s="53"/>
      <c r="F52" s="60"/>
    </row>
    <row r="53" spans="1:6" x14ac:dyDescent="0.25">
      <c r="A53" s="10" t="s">
        <v>137</v>
      </c>
      <c r="B53" s="10">
        <v>23101</v>
      </c>
      <c r="C53" s="8" t="s">
        <v>138</v>
      </c>
      <c r="D53" s="53">
        <f>110900+187700</f>
        <v>298600</v>
      </c>
      <c r="E53" s="53"/>
      <c r="F53" s="60"/>
    </row>
    <row r="54" spans="1:6" x14ac:dyDescent="0.25">
      <c r="A54" s="10" t="s">
        <v>139</v>
      </c>
      <c r="B54" s="10">
        <v>23201</v>
      </c>
      <c r="C54" s="8" t="s">
        <v>140</v>
      </c>
      <c r="D54" s="53"/>
      <c r="E54" s="53"/>
    </row>
    <row r="55" spans="1:6" x14ac:dyDescent="0.25">
      <c r="A55" s="10" t="s">
        <v>141</v>
      </c>
      <c r="B55" s="10">
        <v>24101</v>
      </c>
      <c r="C55" s="8" t="s">
        <v>142</v>
      </c>
      <c r="D55" s="53">
        <v>100</v>
      </c>
      <c r="E55" s="53"/>
    </row>
    <row r="56" spans="1:6" x14ac:dyDescent="0.25">
      <c r="A56" s="10" t="s">
        <v>143</v>
      </c>
      <c r="B56" s="10">
        <v>24201</v>
      </c>
      <c r="C56" s="8" t="s">
        <v>144</v>
      </c>
      <c r="D56" s="53"/>
      <c r="E56" s="53"/>
    </row>
    <row r="57" spans="1:6" x14ac:dyDescent="0.25">
      <c r="A57" s="10" t="s">
        <v>145</v>
      </c>
      <c r="B57" s="10">
        <v>24401</v>
      </c>
      <c r="C57" s="8" t="s">
        <v>146</v>
      </c>
      <c r="D57" s="53">
        <v>1560</v>
      </c>
      <c r="E57" s="53"/>
    </row>
    <row r="58" spans="1:6" x14ac:dyDescent="0.25">
      <c r="A58" s="10" t="s">
        <v>147</v>
      </c>
      <c r="B58" s="10">
        <v>25101</v>
      </c>
      <c r="C58" s="8" t="s">
        <v>148</v>
      </c>
      <c r="D58" s="53">
        <f>400000+80000</f>
        <v>480000</v>
      </c>
      <c r="E58" s="53"/>
    </row>
    <row r="59" spans="1:6" x14ac:dyDescent="0.25">
      <c r="A59" s="10"/>
      <c r="B59" s="10">
        <v>25302</v>
      </c>
      <c r="C59" s="8" t="s">
        <v>149</v>
      </c>
      <c r="D59" s="53"/>
      <c r="E59" s="53"/>
    </row>
    <row r="60" spans="1:6" x14ac:dyDescent="0.25">
      <c r="A60" s="10"/>
      <c r="B60" s="10">
        <v>25303</v>
      </c>
      <c r="C60" s="8" t="s">
        <v>150</v>
      </c>
      <c r="D60" s="53"/>
      <c r="E60" s="53"/>
    </row>
    <row r="61" spans="1:6" ht="30" x14ac:dyDescent="0.25">
      <c r="A61" s="10"/>
      <c r="B61" s="10">
        <v>25304</v>
      </c>
      <c r="C61" s="8" t="s">
        <v>151</v>
      </c>
      <c r="D61" s="53"/>
      <c r="E61" s="53"/>
    </row>
    <row r="62" spans="1:6" ht="30" x14ac:dyDescent="0.25">
      <c r="A62" s="10" t="s">
        <v>152</v>
      </c>
      <c r="B62" s="10">
        <v>25401</v>
      </c>
      <c r="C62" s="8" t="s">
        <v>153</v>
      </c>
      <c r="D62" s="53"/>
      <c r="E62" s="53"/>
    </row>
    <row r="63" spans="1:6" x14ac:dyDescent="0.25">
      <c r="A63" s="10" t="s">
        <v>154</v>
      </c>
      <c r="B63" s="10">
        <v>25801</v>
      </c>
      <c r="C63" s="8" t="s">
        <v>155</v>
      </c>
      <c r="D63" s="53"/>
      <c r="E63" s="9"/>
    </row>
    <row r="64" spans="1:6" x14ac:dyDescent="0.25">
      <c r="A64" s="10"/>
      <c r="B64" s="10">
        <v>25901</v>
      </c>
      <c r="C64" s="8" t="s">
        <v>352</v>
      </c>
      <c r="D64" s="53"/>
      <c r="E64" s="53"/>
    </row>
    <row r="65" spans="1:9" ht="30" x14ac:dyDescent="0.25">
      <c r="A65" s="10"/>
      <c r="B65" s="10">
        <v>26101</v>
      </c>
      <c r="C65" s="8" t="s">
        <v>156</v>
      </c>
      <c r="D65" s="53"/>
      <c r="E65" s="53"/>
    </row>
    <row r="66" spans="1:9" s="1" customFormat="1" x14ac:dyDescent="0.25">
      <c r="A66" s="10" t="s">
        <v>157</v>
      </c>
      <c r="B66" s="10">
        <v>26201</v>
      </c>
      <c r="C66" s="8" t="s">
        <v>158</v>
      </c>
      <c r="D66" s="53"/>
      <c r="E66" s="53"/>
      <c r="G66"/>
      <c r="H66"/>
      <c r="I66"/>
    </row>
    <row r="67" spans="1:9" s="1" customFormat="1" x14ac:dyDescent="0.25">
      <c r="A67" s="10" t="s">
        <v>159</v>
      </c>
      <c r="B67" s="10">
        <v>26301</v>
      </c>
      <c r="C67" s="8" t="s">
        <v>160</v>
      </c>
      <c r="D67" s="53">
        <v>803067.84</v>
      </c>
      <c r="E67" s="53"/>
      <c r="G67"/>
      <c r="H67"/>
      <c r="I67"/>
    </row>
    <row r="68" spans="1:9" s="1" customFormat="1" x14ac:dyDescent="0.25">
      <c r="A68" s="10" t="s">
        <v>161</v>
      </c>
      <c r="B68" s="10">
        <v>27101</v>
      </c>
      <c r="C68" s="8" t="s">
        <v>162</v>
      </c>
      <c r="D68" s="53"/>
      <c r="E68" s="53"/>
      <c r="G68"/>
      <c r="H68"/>
      <c r="I68"/>
    </row>
    <row r="69" spans="1:9" s="1" customFormat="1" x14ac:dyDescent="0.25">
      <c r="A69" s="10" t="s">
        <v>163</v>
      </c>
      <c r="B69" s="10">
        <v>27102</v>
      </c>
      <c r="C69" s="8" t="s">
        <v>164</v>
      </c>
      <c r="D69" s="53"/>
      <c r="E69" s="53"/>
      <c r="G69"/>
      <c r="H69"/>
      <c r="I69"/>
    </row>
    <row r="70" spans="1:9" s="1" customFormat="1" x14ac:dyDescent="0.25">
      <c r="A70" s="10"/>
      <c r="B70" s="10">
        <v>27104</v>
      </c>
      <c r="C70" s="8" t="s">
        <v>165</v>
      </c>
      <c r="D70" s="53"/>
      <c r="E70" s="53"/>
      <c r="G70"/>
      <c r="H70"/>
      <c r="I70"/>
    </row>
    <row r="71" spans="1:9" s="1" customFormat="1" ht="30" x14ac:dyDescent="0.25">
      <c r="A71" s="10" t="s">
        <v>166</v>
      </c>
      <c r="B71" s="10">
        <v>27106</v>
      </c>
      <c r="C71" s="8" t="s">
        <v>167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168</v>
      </c>
      <c r="D72" s="53"/>
      <c r="E72" s="53"/>
      <c r="G72"/>
      <c r="H72"/>
      <c r="I72"/>
    </row>
    <row r="73" spans="1:9" s="1" customFormat="1" ht="30" x14ac:dyDescent="0.25">
      <c r="A73" s="10" t="s">
        <v>169</v>
      </c>
      <c r="B73" s="10">
        <v>27201</v>
      </c>
      <c r="C73" s="8" t="s">
        <v>170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171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172</v>
      </c>
      <c r="D75" s="53"/>
      <c r="E75" s="53"/>
      <c r="G75"/>
      <c r="H75"/>
      <c r="I75"/>
    </row>
    <row r="76" spans="1:9" s="1" customFormat="1" ht="30" x14ac:dyDescent="0.25">
      <c r="A76" s="10" t="s">
        <v>173</v>
      </c>
      <c r="B76" s="10">
        <v>27205</v>
      </c>
      <c r="C76" s="8" t="s">
        <v>174</v>
      </c>
      <c r="D76" s="53">
        <v>71390</v>
      </c>
      <c r="E76" s="53"/>
      <c r="G76"/>
      <c r="H76"/>
      <c r="I76"/>
    </row>
    <row r="77" spans="1:9" s="1" customFormat="1" ht="30" x14ac:dyDescent="0.25">
      <c r="A77" s="10" t="s">
        <v>175</v>
      </c>
      <c r="B77" s="10">
        <v>27206</v>
      </c>
      <c r="C77" s="8" t="s">
        <v>176</v>
      </c>
      <c r="D77" s="53">
        <f>27711.19+17195.35</f>
        <v>44906.539999999994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177</v>
      </c>
      <c r="D78" s="53"/>
      <c r="E78" s="53"/>
      <c r="G78"/>
      <c r="H78"/>
      <c r="I78"/>
    </row>
    <row r="79" spans="1:9" s="1" customFormat="1" x14ac:dyDescent="0.25">
      <c r="A79" s="10" t="s">
        <v>178</v>
      </c>
      <c r="B79" s="10">
        <v>28201</v>
      </c>
      <c r="C79" s="8" t="s">
        <v>179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180</v>
      </c>
      <c r="D80" s="53">
        <v>232170</v>
      </c>
      <c r="E80" s="53"/>
      <c r="G80"/>
      <c r="H80"/>
      <c r="I80"/>
    </row>
    <row r="81" spans="1:9" s="1" customFormat="1" x14ac:dyDescent="0.25">
      <c r="A81" s="10" t="s">
        <v>181</v>
      </c>
      <c r="B81" s="10">
        <v>28401</v>
      </c>
      <c r="C81" s="8" t="s">
        <v>182</v>
      </c>
      <c r="D81" s="53"/>
      <c r="E81" s="53"/>
      <c r="G81"/>
      <c r="H81"/>
      <c r="I81"/>
    </row>
    <row r="82" spans="1:9" s="1" customFormat="1" x14ac:dyDescent="0.25">
      <c r="A82" s="10" t="s">
        <v>183</v>
      </c>
      <c r="B82" s="10">
        <v>28501</v>
      </c>
      <c r="C82" s="8" t="s">
        <v>184</v>
      </c>
      <c r="D82" s="53">
        <v>63720</v>
      </c>
      <c r="E82" s="53"/>
      <c r="G82"/>
      <c r="H82"/>
      <c r="I82"/>
    </row>
    <row r="83" spans="1:9" s="1" customFormat="1" x14ac:dyDescent="0.25">
      <c r="A83" s="10" t="s">
        <v>185</v>
      </c>
      <c r="B83" s="10">
        <v>28502</v>
      </c>
      <c r="C83" s="8" t="s">
        <v>186</v>
      </c>
      <c r="D83" s="53"/>
      <c r="E83" s="53"/>
      <c r="G83"/>
      <c r="H83"/>
      <c r="I83"/>
    </row>
    <row r="84" spans="1:9" s="1" customFormat="1" x14ac:dyDescent="0.25">
      <c r="A84" s="10" t="s">
        <v>187</v>
      </c>
      <c r="B84" s="10">
        <v>28503</v>
      </c>
      <c r="C84" s="8" t="s">
        <v>188</v>
      </c>
      <c r="D84" s="53">
        <v>88500</v>
      </c>
      <c r="E84" s="53"/>
      <c r="G84"/>
      <c r="H84"/>
      <c r="I84"/>
    </row>
    <row r="85" spans="1:9" s="1" customFormat="1" x14ac:dyDescent="0.25">
      <c r="A85" s="10" t="s">
        <v>189</v>
      </c>
      <c r="B85" s="10">
        <v>28601</v>
      </c>
      <c r="C85" s="8" t="s">
        <v>190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191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192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193</v>
      </c>
      <c r="D88" s="53">
        <v>130160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194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195</v>
      </c>
      <c r="D90" s="53"/>
      <c r="E90" s="53"/>
      <c r="G90"/>
      <c r="H90"/>
      <c r="I90"/>
    </row>
    <row r="91" spans="1:9" s="1" customFormat="1" x14ac:dyDescent="0.25">
      <c r="A91" s="10" t="s">
        <v>196</v>
      </c>
      <c r="B91" s="10">
        <v>28706</v>
      </c>
      <c r="C91" s="8" t="s">
        <v>197</v>
      </c>
      <c r="D91" s="53">
        <f>40000+572.01</f>
        <v>40572.01</v>
      </c>
      <c r="E91" s="53"/>
      <c r="G91"/>
      <c r="H91"/>
      <c r="I91"/>
    </row>
    <row r="92" spans="1:9" s="1" customFormat="1" x14ac:dyDescent="0.25">
      <c r="A92" s="10" t="s">
        <v>198</v>
      </c>
      <c r="B92" s="10">
        <v>28801</v>
      </c>
      <c r="C92" s="8" t="s">
        <v>199</v>
      </c>
      <c r="D92" s="53">
        <v>3095.16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200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200</v>
      </c>
      <c r="D94" s="53">
        <v>4985.22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200</v>
      </c>
      <c r="D95" s="53"/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361</v>
      </c>
      <c r="D96" s="53">
        <v>1442.59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201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202</v>
      </c>
      <c r="D98" s="53">
        <v>6443012.4000000004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362</v>
      </c>
      <c r="D99" s="53">
        <v>301613.90000000002</v>
      </c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203</v>
      </c>
      <c r="D100" s="57"/>
      <c r="E100" s="57"/>
      <c r="G100"/>
      <c r="H100"/>
      <c r="I100"/>
    </row>
    <row r="101" spans="1:9" s="1" customFormat="1" x14ac:dyDescent="0.25">
      <c r="A101" s="10" t="s">
        <v>204</v>
      </c>
      <c r="B101" s="10">
        <v>31101</v>
      </c>
      <c r="C101" s="8" t="s">
        <v>205</v>
      </c>
      <c r="D101" s="53">
        <f>746690+89981.49</f>
        <v>836671.49</v>
      </c>
      <c r="E101" s="53"/>
      <c r="G101"/>
      <c r="H101"/>
      <c r="I101"/>
    </row>
    <row r="102" spans="1:9" s="1" customFormat="1" x14ac:dyDescent="0.25">
      <c r="A102" s="10" t="s">
        <v>206</v>
      </c>
      <c r="B102" s="10">
        <v>31303</v>
      </c>
      <c r="C102" s="8" t="s">
        <v>207</v>
      </c>
      <c r="D102" s="53"/>
      <c r="E102" s="53"/>
      <c r="G102"/>
      <c r="H102"/>
      <c r="I102"/>
    </row>
    <row r="103" spans="1:9" s="1" customFormat="1" x14ac:dyDescent="0.25">
      <c r="A103" s="10" t="s">
        <v>208</v>
      </c>
      <c r="B103" s="10">
        <v>31401</v>
      </c>
      <c r="C103" s="8" t="s">
        <v>209</v>
      </c>
      <c r="D103" s="53">
        <v>3600</v>
      </c>
      <c r="E103" s="53"/>
      <c r="G103"/>
      <c r="H103"/>
      <c r="I103"/>
    </row>
    <row r="104" spans="1:9" s="1" customFormat="1" x14ac:dyDescent="0.25">
      <c r="A104" s="10" t="s">
        <v>210</v>
      </c>
      <c r="B104" s="10">
        <v>32101</v>
      </c>
      <c r="C104" s="8" t="s">
        <v>211</v>
      </c>
      <c r="D104" s="53">
        <v>338.8</v>
      </c>
      <c r="E104" s="53"/>
      <c r="G104"/>
      <c r="H104"/>
      <c r="I104"/>
    </row>
    <row r="105" spans="1:9" s="1" customFormat="1" x14ac:dyDescent="0.25">
      <c r="A105" s="10" t="s">
        <v>212</v>
      </c>
      <c r="B105" s="10">
        <v>32201</v>
      </c>
      <c r="C105" s="8" t="s">
        <v>213</v>
      </c>
      <c r="D105" s="53"/>
      <c r="E105" s="53"/>
      <c r="G105"/>
      <c r="H105"/>
      <c r="I105"/>
    </row>
    <row r="106" spans="1:9" s="1" customFormat="1" x14ac:dyDescent="0.25">
      <c r="A106" s="10" t="s">
        <v>214</v>
      </c>
      <c r="B106" s="10">
        <v>32301</v>
      </c>
      <c r="C106" s="8" t="s">
        <v>215</v>
      </c>
      <c r="D106" s="53"/>
      <c r="E106" s="53"/>
      <c r="G106"/>
      <c r="H106"/>
      <c r="I106"/>
    </row>
    <row r="107" spans="1:9" s="1" customFormat="1" x14ac:dyDescent="0.25">
      <c r="A107" s="10" t="s">
        <v>216</v>
      </c>
      <c r="B107" s="10">
        <v>32401</v>
      </c>
      <c r="C107" s="8" t="s">
        <v>217</v>
      </c>
      <c r="D107" s="53"/>
      <c r="E107" s="53"/>
      <c r="G107"/>
      <c r="H107"/>
      <c r="I107"/>
    </row>
    <row r="108" spans="1:9" s="1" customFormat="1" x14ac:dyDescent="0.25">
      <c r="A108" s="10" t="s">
        <v>218</v>
      </c>
      <c r="B108" s="10">
        <v>33101</v>
      </c>
      <c r="C108" s="8" t="s">
        <v>219</v>
      </c>
      <c r="D108" s="53">
        <v>2427</v>
      </c>
      <c r="E108" s="53"/>
      <c r="G108"/>
      <c r="H108"/>
      <c r="I108"/>
    </row>
    <row r="109" spans="1:9" s="1" customFormat="1" x14ac:dyDescent="0.25">
      <c r="A109" s="10" t="s">
        <v>220</v>
      </c>
      <c r="B109" s="10">
        <v>33201</v>
      </c>
      <c r="C109" s="8" t="s">
        <v>221</v>
      </c>
      <c r="D109" s="53">
        <v>3560.62</v>
      </c>
      <c r="E109" s="53"/>
      <c r="G109"/>
      <c r="H109"/>
      <c r="I109"/>
    </row>
    <row r="110" spans="1:9" s="1" customFormat="1" x14ac:dyDescent="0.25">
      <c r="A110" s="10" t="s">
        <v>222</v>
      </c>
      <c r="B110" s="10">
        <v>33301</v>
      </c>
      <c r="C110" s="8" t="s">
        <v>223</v>
      </c>
      <c r="D110" s="53"/>
      <c r="E110" s="53"/>
      <c r="G110"/>
      <c r="H110"/>
      <c r="I110"/>
    </row>
    <row r="111" spans="1:9" s="1" customFormat="1" x14ac:dyDescent="0.25">
      <c r="A111" s="10" t="s">
        <v>224</v>
      </c>
      <c r="B111" s="10">
        <v>33401</v>
      </c>
      <c r="C111" s="8" t="s">
        <v>225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227</v>
      </c>
      <c r="D112" s="53"/>
      <c r="E112" s="53"/>
      <c r="G112"/>
      <c r="H112"/>
      <c r="I112"/>
    </row>
    <row r="113" spans="1:9" s="1" customFormat="1" x14ac:dyDescent="0.25">
      <c r="A113" s="10" t="s">
        <v>228</v>
      </c>
      <c r="B113" s="10">
        <v>34101</v>
      </c>
      <c r="C113" s="8" t="s">
        <v>229</v>
      </c>
      <c r="D113" s="53"/>
      <c r="E113" s="53"/>
      <c r="G113"/>
      <c r="H113"/>
      <c r="I113"/>
    </row>
    <row r="114" spans="1:9" s="1" customFormat="1" x14ac:dyDescent="0.25">
      <c r="A114" s="10" t="s">
        <v>230</v>
      </c>
      <c r="B114" s="10">
        <v>35101</v>
      </c>
      <c r="C114" s="8" t="s">
        <v>231</v>
      </c>
      <c r="D114" s="53"/>
      <c r="E114" s="53"/>
      <c r="G114"/>
      <c r="H114"/>
      <c r="I114"/>
    </row>
    <row r="115" spans="1:9" s="1" customFormat="1" x14ac:dyDescent="0.25">
      <c r="A115" s="10" t="s">
        <v>232</v>
      </c>
      <c r="B115" s="10">
        <v>35201</v>
      </c>
      <c r="C115" s="8" t="s">
        <v>233</v>
      </c>
      <c r="D115" s="53"/>
      <c r="E115" s="53"/>
      <c r="G115"/>
      <c r="H115"/>
      <c r="I115"/>
    </row>
    <row r="116" spans="1:9" x14ac:dyDescent="0.25">
      <c r="A116" s="10" t="s">
        <v>234</v>
      </c>
      <c r="B116" s="10">
        <v>35301</v>
      </c>
      <c r="C116" s="8" t="s">
        <v>235</v>
      </c>
      <c r="D116" s="53">
        <v>587162.15</v>
      </c>
      <c r="E116" s="53"/>
    </row>
    <row r="117" spans="1:9" x14ac:dyDescent="0.25">
      <c r="A117" s="10" t="s">
        <v>236</v>
      </c>
      <c r="B117" s="10">
        <v>35401</v>
      </c>
      <c r="C117" s="8" t="s">
        <v>237</v>
      </c>
      <c r="D117" s="53"/>
      <c r="E117" s="53"/>
    </row>
    <row r="118" spans="1:9" x14ac:dyDescent="0.25">
      <c r="A118" s="10" t="s">
        <v>238</v>
      </c>
      <c r="B118" s="10">
        <v>35501</v>
      </c>
      <c r="C118" s="8" t="s">
        <v>239</v>
      </c>
      <c r="D118" s="53">
        <v>815.04</v>
      </c>
      <c r="E118" s="53"/>
    </row>
    <row r="119" spans="1:9" x14ac:dyDescent="0.25">
      <c r="A119" s="10" t="s">
        <v>240</v>
      </c>
      <c r="B119" s="10">
        <v>36101</v>
      </c>
      <c r="C119" s="8" t="s">
        <v>241</v>
      </c>
      <c r="D119" s="53">
        <v>692.01</v>
      </c>
      <c r="E119" s="53"/>
    </row>
    <row r="120" spans="1:9" x14ac:dyDescent="0.25">
      <c r="A120" s="10"/>
      <c r="B120" s="10">
        <v>36102</v>
      </c>
      <c r="C120" s="8" t="s">
        <v>242</v>
      </c>
      <c r="D120" s="53"/>
      <c r="E120" s="53"/>
    </row>
    <row r="121" spans="1:9" x14ac:dyDescent="0.25">
      <c r="A121" s="10" t="s">
        <v>243</v>
      </c>
      <c r="B121" s="10">
        <v>36104</v>
      </c>
      <c r="C121" s="8" t="s">
        <v>244</v>
      </c>
      <c r="D121" s="53"/>
      <c r="E121" s="53"/>
    </row>
    <row r="122" spans="1:9" x14ac:dyDescent="0.25">
      <c r="A122" s="10" t="s">
        <v>245</v>
      </c>
      <c r="B122" s="10">
        <v>36201</v>
      </c>
      <c r="C122" s="8" t="s">
        <v>246</v>
      </c>
      <c r="D122" s="53">
        <v>220</v>
      </c>
      <c r="E122" s="53"/>
    </row>
    <row r="123" spans="1:9" x14ac:dyDescent="0.25">
      <c r="A123" s="10" t="s">
        <v>247</v>
      </c>
      <c r="B123" s="10">
        <v>36202</v>
      </c>
      <c r="C123" s="8" t="s">
        <v>248</v>
      </c>
      <c r="D123" s="53"/>
      <c r="E123" s="53"/>
    </row>
    <row r="124" spans="1:9" x14ac:dyDescent="0.25">
      <c r="A124" s="10" t="s">
        <v>249</v>
      </c>
      <c r="B124" s="10">
        <v>36203</v>
      </c>
      <c r="C124" s="8" t="s">
        <v>250</v>
      </c>
      <c r="D124" s="53"/>
      <c r="E124" s="53"/>
    </row>
    <row r="125" spans="1:9" x14ac:dyDescent="0.25">
      <c r="A125" s="10" t="s">
        <v>251</v>
      </c>
      <c r="B125" s="10">
        <v>36301</v>
      </c>
      <c r="C125" s="8" t="s">
        <v>252</v>
      </c>
      <c r="D125" s="53"/>
      <c r="E125" s="53"/>
    </row>
    <row r="126" spans="1:9" x14ac:dyDescent="0.25">
      <c r="A126" s="10"/>
      <c r="B126" s="10">
        <v>36302</v>
      </c>
      <c r="C126" s="8" t="s">
        <v>248</v>
      </c>
      <c r="D126" s="53"/>
      <c r="E126" s="53"/>
    </row>
    <row r="127" spans="1:9" x14ac:dyDescent="0.25">
      <c r="A127" s="10" t="s">
        <v>253</v>
      </c>
      <c r="B127" s="10">
        <v>36303</v>
      </c>
      <c r="C127" s="8" t="s">
        <v>254</v>
      </c>
      <c r="D127" s="53"/>
      <c r="E127" s="53"/>
    </row>
    <row r="128" spans="1:9" x14ac:dyDescent="0.25">
      <c r="A128" s="10" t="s">
        <v>255</v>
      </c>
      <c r="B128" s="10">
        <v>36304</v>
      </c>
      <c r="C128" s="8" t="s">
        <v>256</v>
      </c>
      <c r="D128" s="53">
        <v>2687.56</v>
      </c>
      <c r="E128" s="53"/>
    </row>
    <row r="129" spans="1:9" s="1" customFormat="1" x14ac:dyDescent="0.25">
      <c r="A129" s="10" t="s">
        <v>255</v>
      </c>
      <c r="B129" s="10">
        <v>36306</v>
      </c>
      <c r="C129" s="8" t="s">
        <v>257</v>
      </c>
      <c r="D129" s="53">
        <v>174</v>
      </c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258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 t="s">
        <v>364</v>
      </c>
      <c r="D131" s="53"/>
      <c r="E131" s="53"/>
      <c r="G131"/>
      <c r="H131"/>
      <c r="I131"/>
    </row>
    <row r="132" spans="1:9" s="1" customFormat="1" x14ac:dyDescent="0.25">
      <c r="A132" s="10" t="s">
        <v>243</v>
      </c>
      <c r="B132" s="51">
        <v>36403</v>
      </c>
      <c r="C132" s="52" t="s">
        <v>259</v>
      </c>
      <c r="D132" s="53"/>
      <c r="E132" s="53"/>
      <c r="G132"/>
      <c r="H132"/>
      <c r="I132"/>
    </row>
    <row r="133" spans="1:9" s="1" customFormat="1" x14ac:dyDescent="0.25">
      <c r="A133" s="10" t="s">
        <v>260</v>
      </c>
      <c r="B133" s="51">
        <v>37101</v>
      </c>
      <c r="C133" s="52" t="s">
        <v>261</v>
      </c>
      <c r="D133" s="53"/>
      <c r="E133" s="53"/>
      <c r="G133"/>
      <c r="H133"/>
      <c r="I133"/>
    </row>
    <row r="134" spans="1:9" s="1" customFormat="1" x14ac:dyDescent="0.25">
      <c r="A134" s="10" t="s">
        <v>262</v>
      </c>
      <c r="B134" s="51">
        <v>37102</v>
      </c>
      <c r="C134" s="52" t="s">
        <v>263</v>
      </c>
      <c r="D134" s="53">
        <v>34708.800000000003</v>
      </c>
      <c r="E134" s="53"/>
      <c r="G134"/>
      <c r="H134"/>
      <c r="I134"/>
    </row>
    <row r="135" spans="1:9" s="1" customFormat="1" x14ac:dyDescent="0.25">
      <c r="A135" s="10" t="s">
        <v>264</v>
      </c>
      <c r="B135" s="51">
        <v>37104</v>
      </c>
      <c r="C135" s="52" t="s">
        <v>265</v>
      </c>
      <c r="D135" s="53">
        <v>1000</v>
      </c>
      <c r="E135" s="53"/>
      <c r="G135"/>
      <c r="H135"/>
      <c r="I135"/>
    </row>
    <row r="136" spans="1:9" s="1" customFormat="1" x14ac:dyDescent="0.25">
      <c r="A136" s="10" t="s">
        <v>266</v>
      </c>
      <c r="B136" s="51">
        <v>37105</v>
      </c>
      <c r="C136" s="52" t="s">
        <v>267</v>
      </c>
      <c r="D136" s="53">
        <v>175</v>
      </c>
      <c r="E136" s="53"/>
      <c r="G136"/>
      <c r="H136"/>
      <c r="I136"/>
    </row>
    <row r="137" spans="1:9" s="1" customFormat="1" x14ac:dyDescent="0.25">
      <c r="A137" s="10" t="s">
        <v>268</v>
      </c>
      <c r="B137" s="51">
        <v>37106</v>
      </c>
      <c r="C137" s="52" t="s">
        <v>269</v>
      </c>
      <c r="D137" s="53">
        <v>35990</v>
      </c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270</v>
      </c>
      <c r="D138" s="53"/>
      <c r="E138" s="53"/>
      <c r="G138"/>
      <c r="H138"/>
      <c r="I138"/>
    </row>
    <row r="139" spans="1:9" s="1" customFormat="1" x14ac:dyDescent="0.25">
      <c r="A139" s="10" t="s">
        <v>271</v>
      </c>
      <c r="B139" s="10">
        <v>37203</v>
      </c>
      <c r="C139" s="8" t="s">
        <v>272</v>
      </c>
      <c r="D139" s="53">
        <v>625</v>
      </c>
      <c r="E139" s="53"/>
      <c r="G139"/>
      <c r="H139"/>
      <c r="I139"/>
    </row>
    <row r="140" spans="1:9" s="1" customFormat="1" x14ac:dyDescent="0.25">
      <c r="A140" s="10" t="s">
        <v>273</v>
      </c>
      <c r="B140" s="10">
        <v>37205</v>
      </c>
      <c r="C140" s="8" t="s">
        <v>274</v>
      </c>
      <c r="D140" s="53"/>
      <c r="E140" s="53"/>
      <c r="G140"/>
      <c r="H140"/>
      <c r="I140"/>
    </row>
    <row r="141" spans="1:9" s="1" customFormat="1" x14ac:dyDescent="0.25">
      <c r="A141" s="10" t="s">
        <v>275</v>
      </c>
      <c r="B141" s="10">
        <v>37206</v>
      </c>
      <c r="C141" s="8" t="s">
        <v>276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277</v>
      </c>
      <c r="D142" s="53"/>
      <c r="E142" s="53"/>
      <c r="G142"/>
      <c r="H142"/>
      <c r="I142"/>
    </row>
    <row r="143" spans="1:9" s="1" customFormat="1" x14ac:dyDescent="0.25">
      <c r="A143" s="10" t="s">
        <v>278</v>
      </c>
      <c r="B143" s="51">
        <v>39101</v>
      </c>
      <c r="C143" s="52" t="s">
        <v>279</v>
      </c>
      <c r="D143" s="53">
        <v>1183.5</v>
      </c>
      <c r="E143" s="53"/>
      <c r="G143"/>
      <c r="H143"/>
      <c r="I143"/>
    </row>
    <row r="144" spans="1:9" s="1" customFormat="1" ht="30" x14ac:dyDescent="0.25">
      <c r="A144" s="10" t="s">
        <v>280</v>
      </c>
      <c r="B144" s="51">
        <v>39201</v>
      </c>
      <c r="C144" s="52" t="s">
        <v>281</v>
      </c>
      <c r="D144" s="53">
        <f>2211360.12+3763.73</f>
        <v>2215123.85</v>
      </c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282</v>
      </c>
      <c r="D145" s="53"/>
      <c r="E145" s="53"/>
      <c r="G145"/>
      <c r="H145"/>
      <c r="I145"/>
    </row>
    <row r="146" spans="1:9" s="1" customFormat="1" x14ac:dyDescent="0.25">
      <c r="A146" s="10" t="s">
        <v>283</v>
      </c>
      <c r="B146" s="51">
        <v>39501</v>
      </c>
      <c r="C146" s="52" t="s">
        <v>284</v>
      </c>
      <c r="D146" s="53"/>
      <c r="E146" s="53"/>
      <c r="G146"/>
      <c r="H146"/>
      <c r="I146"/>
    </row>
    <row r="147" spans="1:9" s="1" customFormat="1" x14ac:dyDescent="0.25">
      <c r="A147" s="10" t="s">
        <v>285</v>
      </c>
      <c r="B147" s="10">
        <v>39601</v>
      </c>
      <c r="C147" s="8" t="s">
        <v>286</v>
      </c>
      <c r="D147" s="53">
        <f>8414.58+468.78</f>
        <v>8883.36</v>
      </c>
      <c r="E147" s="53"/>
      <c r="G147"/>
      <c r="H147"/>
      <c r="I147"/>
    </row>
    <row r="148" spans="1:9" s="1" customFormat="1" x14ac:dyDescent="0.25">
      <c r="A148" s="10" t="s">
        <v>287</v>
      </c>
      <c r="B148" s="10">
        <v>39801</v>
      </c>
      <c r="C148" s="8" t="s">
        <v>288</v>
      </c>
      <c r="D148" s="53">
        <v>7670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353</v>
      </c>
      <c r="D149" s="53"/>
      <c r="E149" s="53"/>
      <c r="G149"/>
      <c r="H149"/>
      <c r="I149"/>
    </row>
    <row r="150" spans="1:9" s="1" customFormat="1" x14ac:dyDescent="0.25">
      <c r="A150" s="10" t="s">
        <v>289</v>
      </c>
      <c r="B150" s="10">
        <v>39901</v>
      </c>
      <c r="C150" s="8" t="s">
        <v>290</v>
      </c>
      <c r="D150" s="53">
        <v>542.19000000000005</v>
      </c>
      <c r="E150" s="53"/>
      <c r="G150"/>
      <c r="H150"/>
      <c r="I150"/>
    </row>
    <row r="151" spans="1:9" s="1" customFormat="1" x14ac:dyDescent="0.25">
      <c r="A151" s="10" t="s">
        <v>289</v>
      </c>
      <c r="B151" s="10">
        <v>39902</v>
      </c>
      <c r="C151" s="8" t="s">
        <v>291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292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293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294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295</v>
      </c>
      <c r="B155" s="10">
        <v>41103</v>
      </c>
      <c r="C155" s="8" t="s">
        <v>296</v>
      </c>
      <c r="D155" s="53"/>
      <c r="E155" s="53"/>
      <c r="G155"/>
      <c r="H155"/>
      <c r="I155"/>
    </row>
    <row r="156" spans="1:9" s="1" customFormat="1" ht="30" x14ac:dyDescent="0.25">
      <c r="A156" s="10" t="s">
        <v>297</v>
      </c>
      <c r="B156" s="10">
        <v>41201</v>
      </c>
      <c r="C156" s="8" t="s">
        <v>298</v>
      </c>
      <c r="D156" s="53"/>
      <c r="E156" s="53"/>
      <c r="G156"/>
      <c r="H156"/>
      <c r="I156"/>
    </row>
    <row r="157" spans="1:9" s="1" customFormat="1" ht="30" x14ac:dyDescent="0.25">
      <c r="A157" s="10" t="s">
        <v>299</v>
      </c>
      <c r="B157" s="10">
        <v>41202</v>
      </c>
      <c r="C157" s="8" t="s">
        <v>300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301</v>
      </c>
      <c r="D158" s="9"/>
      <c r="E158" s="9"/>
      <c r="G158"/>
      <c r="H158"/>
      <c r="I158"/>
    </row>
    <row r="159" spans="1:9" s="1" customFormat="1" x14ac:dyDescent="0.25">
      <c r="A159" s="10" t="s">
        <v>302</v>
      </c>
      <c r="B159" s="10">
        <v>41402</v>
      </c>
      <c r="C159" s="8" t="s">
        <v>303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304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305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306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307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308</v>
      </c>
      <c r="D164" s="9"/>
      <c r="E164" s="9"/>
      <c r="G164"/>
      <c r="H164"/>
      <c r="I164"/>
    </row>
    <row r="165" spans="1:9" s="1" customFormat="1" x14ac:dyDescent="0.25">
      <c r="A165" s="10" t="s">
        <v>309</v>
      </c>
      <c r="B165" s="10">
        <v>44102</v>
      </c>
      <c r="C165" s="8" t="s">
        <v>310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311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358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77</v>
      </c>
      <c r="D168" s="15"/>
      <c r="E168" s="62">
        <f>+E9-E16</f>
        <v>848920332.35000014</v>
      </c>
      <c r="G168"/>
      <c r="H168"/>
      <c r="I168"/>
    </row>
    <row r="169" spans="1:9" s="1" customFormat="1" x14ac:dyDescent="0.25">
      <c r="A169" s="10"/>
      <c r="B169" s="10" t="s">
        <v>314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77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315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316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42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315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317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318</v>
      </c>
      <c r="C176" s="98"/>
      <c r="D176" s="66">
        <f>+E9-E16</f>
        <v>848920332.35000014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319</v>
      </c>
      <c r="B184" s="11">
        <v>6</v>
      </c>
      <c r="C184" s="5" t="s">
        <v>320</v>
      </c>
      <c r="D184" s="12">
        <f>SUM(D185:D206)</f>
        <v>1559979.25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321</v>
      </c>
      <c r="D185" s="53">
        <v>582519.26</v>
      </c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322</v>
      </c>
      <c r="D186" s="53">
        <v>382202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323</v>
      </c>
      <c r="D187" s="53">
        <v>171519.99</v>
      </c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324</v>
      </c>
      <c r="D188" s="53">
        <v>117410</v>
      </c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325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326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327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328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329</v>
      </c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330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331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332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333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334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335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336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337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338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339</v>
      </c>
      <c r="D203" s="53">
        <v>306328</v>
      </c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340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341</v>
      </c>
      <c r="D205" s="53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342</v>
      </c>
      <c r="D206" s="53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359</v>
      </c>
      <c r="D207" s="53">
        <v>938221.54</v>
      </c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343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344</v>
      </c>
      <c r="B209" s="10">
        <v>71201</v>
      </c>
      <c r="C209" s="8" t="s">
        <v>345</v>
      </c>
      <c r="D209" s="24"/>
      <c r="E209" s="25"/>
      <c r="G209"/>
      <c r="H209"/>
      <c r="I209"/>
    </row>
    <row r="210" spans="1:9" s="1" customFormat="1" x14ac:dyDescent="0.25">
      <c r="A210" s="27" t="s">
        <v>346</v>
      </c>
      <c r="B210" s="10">
        <v>71501</v>
      </c>
      <c r="C210" s="8" t="s">
        <v>347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1559979.25</v>
      </c>
      <c r="E211" s="19"/>
      <c r="G211"/>
      <c r="H211"/>
      <c r="I211"/>
    </row>
    <row r="212" spans="1:9" s="1" customFormat="1" x14ac:dyDescent="0.25">
      <c r="A212"/>
      <c r="B212"/>
      <c r="C212" s="2" t="s">
        <v>348</v>
      </c>
      <c r="E212" s="21"/>
      <c r="G212"/>
      <c r="H212"/>
      <c r="I212"/>
    </row>
    <row r="213" spans="1:9" s="1" customFormat="1" x14ac:dyDescent="0.25">
      <c r="A213"/>
      <c r="B213"/>
      <c r="C213" s="2" t="s">
        <v>349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zoomScale="90" zoomScaleNormal="90" workbookViewId="0">
      <selection activeCell="D11" sqref="D11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369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/>
      <c r="E9" s="71"/>
    </row>
    <row r="10" spans="1:7" x14ac:dyDescent="0.25">
      <c r="A10" s="10" t="s">
        <v>64</v>
      </c>
      <c r="B10" s="7" t="s">
        <v>65</v>
      </c>
      <c r="C10" s="8" t="s">
        <v>66</v>
      </c>
      <c r="D10" s="82">
        <v>109948913.91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648945430.13999999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4681164.1900000004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53">
        <v>697338.46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4" t="s">
        <v>77</v>
      </c>
      <c r="D15" s="9"/>
      <c r="E15" s="85">
        <f>SUM(D10:D14)</f>
        <v>764272846.70000005</v>
      </c>
    </row>
    <row r="16" spans="1:7" x14ac:dyDescent="0.25">
      <c r="A16" s="51"/>
      <c r="B16" s="51"/>
      <c r="C16" s="83" t="s">
        <v>78</v>
      </c>
      <c r="D16" s="64">
        <f>+D17+D43+D101+D155+D185</f>
        <v>49938654.059999995</v>
      </c>
      <c r="E16" s="64">
        <f>+D16</f>
        <v>49938654.059999995</v>
      </c>
    </row>
    <row r="17" spans="1:9" x14ac:dyDescent="0.25">
      <c r="A17" s="51"/>
      <c r="B17" s="69">
        <v>1</v>
      </c>
      <c r="C17" s="63" t="s">
        <v>79</v>
      </c>
      <c r="D17" s="57">
        <f>SUM(D18:D42)</f>
        <v>32423570.43</v>
      </c>
      <c r="E17" s="57" t="s">
        <v>3</v>
      </c>
    </row>
    <row r="18" spans="1:9" ht="18" customHeight="1" x14ac:dyDescent="0.25">
      <c r="A18" s="51" t="s">
        <v>80</v>
      </c>
      <c r="B18" s="51">
        <v>11101</v>
      </c>
      <c r="C18" s="52" t="s">
        <v>81</v>
      </c>
      <c r="D18" s="53">
        <f>19358236.2+875000</f>
        <v>20233236.199999999</v>
      </c>
      <c r="E18" s="53"/>
    </row>
    <row r="19" spans="1:9" ht="18" customHeight="1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ht="18" customHeight="1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ht="18" customHeight="1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18" customHeight="1" x14ac:dyDescent="0.25">
      <c r="A22" s="10" t="s">
        <v>88</v>
      </c>
      <c r="B22" s="10">
        <v>11205</v>
      </c>
      <c r="C22" s="8" t="s">
        <v>89</v>
      </c>
      <c r="D22" s="65"/>
      <c r="E22" s="9"/>
    </row>
    <row r="23" spans="1:9" ht="18" customHeight="1" x14ac:dyDescent="0.25">
      <c r="A23" s="10"/>
      <c r="B23" s="10">
        <v>11208</v>
      </c>
      <c r="C23" s="8" t="s">
        <v>90</v>
      </c>
      <c r="D23" s="65">
        <v>6548000</v>
      </c>
      <c r="E23" s="9"/>
    </row>
    <row r="24" spans="1:9" ht="18" customHeight="1" x14ac:dyDescent="0.25">
      <c r="A24" s="10"/>
      <c r="B24" s="10">
        <v>11210</v>
      </c>
      <c r="C24" s="8" t="s">
        <v>91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92</v>
      </c>
      <c r="D25" s="53">
        <v>49000</v>
      </c>
      <c r="E25" s="53"/>
    </row>
    <row r="26" spans="1:9" ht="18" customHeight="1" x14ac:dyDescent="0.25">
      <c r="A26" s="10" t="s">
        <v>93</v>
      </c>
      <c r="B26" s="10">
        <v>11401</v>
      </c>
      <c r="C26" s="8" t="s">
        <v>370</v>
      </c>
      <c r="D26" s="53">
        <v>11305.56</v>
      </c>
      <c r="E26" s="53"/>
    </row>
    <row r="27" spans="1:9" ht="18" customHeight="1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97</v>
      </c>
      <c r="D28" s="53"/>
      <c r="E28" s="53"/>
    </row>
    <row r="29" spans="1:9" ht="18" customHeight="1" x14ac:dyDescent="0.25">
      <c r="A29" s="10"/>
      <c r="B29" s="10">
        <v>11504</v>
      </c>
      <c r="C29" s="8" t="s">
        <v>98</v>
      </c>
      <c r="D29" s="53">
        <v>45685.279999999999</v>
      </c>
      <c r="E29" s="53"/>
    </row>
    <row r="30" spans="1:9" ht="18" customHeight="1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100</v>
      </c>
      <c r="D31" s="53"/>
      <c r="E31" s="53"/>
    </row>
    <row r="32" spans="1:9" ht="18" customHeight="1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6" ht="18" customHeight="1" x14ac:dyDescent="0.25">
      <c r="A33" s="10" t="s">
        <v>103</v>
      </c>
      <c r="B33" s="10">
        <v>12205</v>
      </c>
      <c r="C33" s="8" t="s">
        <v>104</v>
      </c>
      <c r="D33" s="53">
        <v>1470000</v>
      </c>
      <c r="E33" s="53"/>
    </row>
    <row r="34" spans="1:6" ht="18" customHeight="1" x14ac:dyDescent="0.25">
      <c r="A34" s="10" t="s">
        <v>105</v>
      </c>
      <c r="B34" s="10">
        <v>12206</v>
      </c>
      <c r="C34" s="8" t="s">
        <v>106</v>
      </c>
      <c r="D34" s="53"/>
      <c r="E34" s="53"/>
    </row>
    <row r="35" spans="1:6" ht="18" customHeight="1" x14ac:dyDescent="0.25">
      <c r="A35" s="10" t="s">
        <v>107</v>
      </c>
      <c r="B35" s="10">
        <v>12209</v>
      </c>
      <c r="C35" s="8" t="s">
        <v>108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109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100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110</v>
      </c>
      <c r="D38" s="53"/>
      <c r="E38" s="53"/>
    </row>
    <row r="39" spans="1:6" ht="18" customHeight="1" x14ac:dyDescent="0.25">
      <c r="A39" s="10" t="s">
        <v>111</v>
      </c>
      <c r="B39" s="10">
        <v>13101</v>
      </c>
      <c r="C39" s="8" t="s">
        <v>112</v>
      </c>
      <c r="D39" s="53"/>
      <c r="E39" s="53"/>
    </row>
    <row r="40" spans="1:6" ht="18" customHeight="1" x14ac:dyDescent="0.25">
      <c r="A40" s="10" t="s">
        <v>113</v>
      </c>
      <c r="B40" s="10">
        <v>15101</v>
      </c>
      <c r="C40" s="8" t="s">
        <v>114</v>
      </c>
      <c r="D40" s="54">
        <f>1832967.86+62037.5</f>
        <v>1895005.36</v>
      </c>
      <c r="E40" s="53"/>
    </row>
    <row r="41" spans="1:6" ht="18" customHeight="1" x14ac:dyDescent="0.25">
      <c r="A41" s="10" t="s">
        <v>115</v>
      </c>
      <c r="B41" s="10">
        <v>15201</v>
      </c>
      <c r="C41" s="8" t="s">
        <v>116</v>
      </c>
      <c r="D41" s="53">
        <f>1842821.78+62125</f>
        <v>1904946.78</v>
      </c>
      <c r="E41" s="53"/>
    </row>
    <row r="42" spans="1:6" ht="18" customHeight="1" x14ac:dyDescent="0.25">
      <c r="A42" s="10"/>
      <c r="B42" s="10">
        <v>15301</v>
      </c>
      <c r="C42" s="8" t="s">
        <v>117</v>
      </c>
      <c r="D42" s="53">
        <f>256766.25+9625</f>
        <v>266391.25</v>
      </c>
      <c r="E42" s="53"/>
    </row>
    <row r="43" spans="1:6" ht="18" customHeight="1" x14ac:dyDescent="0.25">
      <c r="A43" s="51"/>
      <c r="B43" s="69">
        <v>2</v>
      </c>
      <c r="C43" s="63" t="s">
        <v>118</v>
      </c>
      <c r="D43" s="57">
        <f>SUM(D44:D100)</f>
        <v>8195841.1899999995</v>
      </c>
      <c r="E43" s="57"/>
    </row>
    <row r="44" spans="1:6" ht="18" customHeight="1" x14ac:dyDescent="0.25">
      <c r="A44" s="10" t="s">
        <v>119</v>
      </c>
      <c r="B44" s="10">
        <v>21201</v>
      </c>
      <c r="C44" s="8" t="s">
        <v>120</v>
      </c>
      <c r="D44" s="54">
        <v>40260.980000000003</v>
      </c>
      <c r="E44" s="53"/>
    </row>
    <row r="45" spans="1:6" ht="18" customHeight="1" x14ac:dyDescent="0.25">
      <c r="A45" s="10" t="s">
        <v>121</v>
      </c>
      <c r="B45" s="10">
        <v>21301</v>
      </c>
      <c r="C45" s="8" t="s">
        <v>122</v>
      </c>
      <c r="D45" s="53">
        <v>58806.65</v>
      </c>
      <c r="E45" s="53"/>
    </row>
    <row r="46" spans="1:6" ht="18" customHeight="1" x14ac:dyDescent="0.25">
      <c r="A46" s="10" t="s">
        <v>123</v>
      </c>
      <c r="B46" s="10">
        <v>21401</v>
      </c>
      <c r="C46" s="8" t="s">
        <v>124</v>
      </c>
      <c r="D46" s="53">
        <v>2340</v>
      </c>
      <c r="E46" s="53"/>
    </row>
    <row r="47" spans="1:6" ht="18" customHeight="1" x14ac:dyDescent="0.25">
      <c r="A47" s="10" t="s">
        <v>125</v>
      </c>
      <c r="B47" s="10">
        <v>21501</v>
      </c>
      <c r="C47" s="8" t="s">
        <v>126</v>
      </c>
      <c r="D47" s="53">
        <v>1605043.63</v>
      </c>
      <c r="E47" s="53"/>
      <c r="F47"/>
    </row>
    <row r="48" spans="1:6" ht="18" customHeight="1" x14ac:dyDescent="0.25">
      <c r="A48" s="10" t="s">
        <v>127</v>
      </c>
      <c r="B48" s="10">
        <v>21601</v>
      </c>
      <c r="C48" s="8" t="s">
        <v>128</v>
      </c>
      <c r="D48" s="53">
        <v>1783691.89</v>
      </c>
      <c r="E48" s="53"/>
      <c r="F48"/>
    </row>
    <row r="49" spans="1:6" ht="18" customHeight="1" x14ac:dyDescent="0.25">
      <c r="A49" s="10" t="s">
        <v>129</v>
      </c>
      <c r="B49" s="10">
        <v>21701</v>
      </c>
      <c r="C49" s="8" t="s">
        <v>130</v>
      </c>
      <c r="D49" s="53">
        <v>6390</v>
      </c>
      <c r="E49" s="53"/>
      <c r="F49"/>
    </row>
    <row r="50" spans="1:6" ht="18" customHeight="1" x14ac:dyDescent="0.25">
      <c r="A50" s="10" t="s">
        <v>131</v>
      </c>
      <c r="B50" s="10">
        <v>21801</v>
      </c>
      <c r="C50" s="8" t="s">
        <v>132</v>
      </c>
      <c r="D50" s="53">
        <f>7444+1000</f>
        <v>8444</v>
      </c>
      <c r="E50" s="53"/>
      <c r="F50"/>
    </row>
    <row r="51" spans="1:6" ht="18" customHeight="1" x14ac:dyDescent="0.25">
      <c r="A51" s="10" t="s">
        <v>133</v>
      </c>
      <c r="B51" s="10">
        <v>22101</v>
      </c>
      <c r="C51" s="8" t="s">
        <v>134</v>
      </c>
      <c r="D51" s="53">
        <f>559565.2+178600</f>
        <v>738165.2</v>
      </c>
      <c r="E51" s="53"/>
      <c r="F51"/>
    </row>
    <row r="52" spans="1:6" ht="18" customHeight="1" x14ac:dyDescent="0.25">
      <c r="A52" s="10"/>
      <c r="B52" s="10">
        <v>22103</v>
      </c>
      <c r="C52" s="8" t="s">
        <v>371</v>
      </c>
      <c r="D52" s="53">
        <v>41978</v>
      </c>
      <c r="E52" s="53"/>
      <c r="F52"/>
    </row>
    <row r="53" spans="1:6" ht="18" customHeight="1" x14ac:dyDescent="0.25">
      <c r="A53" s="10" t="s">
        <v>135</v>
      </c>
      <c r="B53" s="10">
        <v>22201</v>
      </c>
      <c r="C53" s="8" t="s">
        <v>136</v>
      </c>
      <c r="D53" s="53"/>
      <c r="E53" s="53"/>
      <c r="F53"/>
    </row>
    <row r="54" spans="1:6" ht="18" customHeight="1" x14ac:dyDescent="0.25">
      <c r="A54" s="10" t="s">
        <v>137</v>
      </c>
      <c r="B54" s="10">
        <v>23101</v>
      </c>
      <c r="C54" s="8" t="s">
        <v>138</v>
      </c>
      <c r="D54" s="53">
        <f>60300+75300</f>
        <v>135600</v>
      </c>
      <c r="E54" s="53"/>
      <c r="F54"/>
    </row>
    <row r="55" spans="1:6" ht="18" customHeight="1" x14ac:dyDescent="0.25">
      <c r="A55" s="10" t="s">
        <v>139</v>
      </c>
      <c r="B55" s="10">
        <v>23201</v>
      </c>
      <c r="C55" s="8" t="s">
        <v>140</v>
      </c>
      <c r="D55" s="53">
        <v>376462.5</v>
      </c>
      <c r="E55" s="53"/>
      <c r="F55"/>
    </row>
    <row r="56" spans="1:6" ht="18" customHeight="1" x14ac:dyDescent="0.25">
      <c r="A56" s="10" t="s">
        <v>141</v>
      </c>
      <c r="B56" s="10">
        <v>24101</v>
      </c>
      <c r="C56" s="8" t="s">
        <v>372</v>
      </c>
      <c r="D56" s="53">
        <v>161706</v>
      </c>
      <c r="E56" s="53"/>
      <c r="F56"/>
    </row>
    <row r="57" spans="1:6" ht="18" customHeight="1" x14ac:dyDescent="0.25">
      <c r="A57" s="10" t="s">
        <v>143</v>
      </c>
      <c r="B57" s="10">
        <v>24201</v>
      </c>
      <c r="C57" s="8" t="s">
        <v>144</v>
      </c>
      <c r="D57" s="53"/>
      <c r="E57" s="53"/>
      <c r="F57"/>
    </row>
    <row r="58" spans="1:6" ht="18" customHeight="1" x14ac:dyDescent="0.25">
      <c r="A58" s="10" t="s">
        <v>145</v>
      </c>
      <c r="B58" s="10">
        <v>24401</v>
      </c>
      <c r="C58" s="8" t="s">
        <v>146</v>
      </c>
      <c r="D58" s="53">
        <v>6720</v>
      </c>
      <c r="E58" s="53"/>
      <c r="F58"/>
    </row>
    <row r="59" spans="1:6" ht="18" customHeight="1" x14ac:dyDescent="0.25">
      <c r="A59" s="10" t="s">
        <v>147</v>
      </c>
      <c r="B59" s="10">
        <v>25101</v>
      </c>
      <c r="C59" s="8" t="s">
        <v>148</v>
      </c>
      <c r="D59" s="53"/>
      <c r="E59" s="53"/>
      <c r="F59"/>
    </row>
    <row r="60" spans="1:6" ht="18" customHeight="1" x14ac:dyDescent="0.25">
      <c r="A60" s="10"/>
      <c r="B60" s="10">
        <v>25302</v>
      </c>
      <c r="C60" s="8" t="s">
        <v>149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150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151</v>
      </c>
      <c r="D62" s="53"/>
      <c r="E62" s="53"/>
    </row>
    <row r="63" spans="1:6" ht="18" customHeight="1" x14ac:dyDescent="0.25">
      <c r="A63" s="10" t="s">
        <v>152</v>
      </c>
      <c r="B63" s="10">
        <v>25401</v>
      </c>
      <c r="C63" s="8" t="s">
        <v>153</v>
      </c>
      <c r="D63" s="53"/>
      <c r="E63" s="53"/>
    </row>
    <row r="64" spans="1:6" ht="18" customHeight="1" x14ac:dyDescent="0.25">
      <c r="A64" s="10" t="s">
        <v>154</v>
      </c>
      <c r="B64" s="10">
        <v>25801</v>
      </c>
      <c r="C64" s="8" t="s">
        <v>155</v>
      </c>
      <c r="D64" s="53">
        <v>1180</v>
      </c>
      <c r="E64" s="9"/>
    </row>
    <row r="65" spans="1:9" ht="18" customHeight="1" x14ac:dyDescent="0.25">
      <c r="A65" s="10"/>
      <c r="B65" s="10">
        <v>25901</v>
      </c>
      <c r="C65" s="8" t="s">
        <v>352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156</v>
      </c>
      <c r="D66" s="53"/>
      <c r="E66" s="53"/>
    </row>
    <row r="67" spans="1:9" s="1" customFormat="1" ht="18" customHeight="1" x14ac:dyDescent="0.25">
      <c r="A67" s="10" t="s">
        <v>157</v>
      </c>
      <c r="B67" s="10">
        <v>26201</v>
      </c>
      <c r="C67" s="8" t="s">
        <v>158</v>
      </c>
      <c r="D67" s="53"/>
      <c r="E67" s="53"/>
      <c r="G67"/>
      <c r="H67"/>
      <c r="I67"/>
    </row>
    <row r="68" spans="1:9" s="1" customFormat="1" ht="18" customHeight="1" x14ac:dyDescent="0.25">
      <c r="A68" s="10" t="s">
        <v>159</v>
      </c>
      <c r="B68" s="10">
        <v>26301</v>
      </c>
      <c r="C68" s="8" t="s">
        <v>160</v>
      </c>
      <c r="D68" s="53">
        <v>802993.47</v>
      </c>
      <c r="E68" s="53"/>
      <c r="G68"/>
      <c r="H68"/>
      <c r="I68"/>
    </row>
    <row r="69" spans="1:9" s="1" customFormat="1" ht="18" customHeight="1" x14ac:dyDescent="0.25">
      <c r="A69" s="10" t="s">
        <v>161</v>
      </c>
      <c r="B69" s="10">
        <v>27101</v>
      </c>
      <c r="C69" s="8" t="s">
        <v>162</v>
      </c>
      <c r="D69" s="53"/>
      <c r="E69" s="53"/>
      <c r="G69"/>
      <c r="H69"/>
      <c r="I69"/>
    </row>
    <row r="70" spans="1:9" s="1" customFormat="1" ht="18" customHeight="1" x14ac:dyDescent="0.25">
      <c r="A70" s="10" t="s">
        <v>163</v>
      </c>
      <c r="B70" s="10">
        <v>27102</v>
      </c>
      <c r="C70" s="8" t="s">
        <v>164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165</v>
      </c>
      <c r="D71" s="53"/>
      <c r="E71" s="53"/>
      <c r="G71"/>
      <c r="H71"/>
      <c r="I71"/>
    </row>
    <row r="72" spans="1:9" s="1" customFormat="1" ht="18" customHeight="1" x14ac:dyDescent="0.25">
      <c r="A72" s="10" t="s">
        <v>166</v>
      </c>
      <c r="B72" s="10">
        <v>27106</v>
      </c>
      <c r="C72" s="8" t="s">
        <v>167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168</v>
      </c>
      <c r="D73" s="53"/>
      <c r="E73" s="53"/>
      <c r="G73"/>
      <c r="H73"/>
      <c r="I73"/>
    </row>
    <row r="74" spans="1:9" s="1" customFormat="1" ht="18" customHeight="1" x14ac:dyDescent="0.25">
      <c r="A74" s="10" t="s">
        <v>169</v>
      </c>
      <c r="B74" s="10">
        <v>27201</v>
      </c>
      <c r="C74" s="8" t="s">
        <v>170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171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172</v>
      </c>
      <c r="D76" s="53"/>
      <c r="E76" s="53"/>
      <c r="G76"/>
      <c r="H76"/>
      <c r="I76"/>
    </row>
    <row r="77" spans="1:9" s="1" customFormat="1" ht="18" customHeight="1" x14ac:dyDescent="0.25">
      <c r="A77" s="10" t="s">
        <v>173</v>
      </c>
      <c r="B77" s="10">
        <v>27205</v>
      </c>
      <c r="C77" s="8" t="s">
        <v>174</v>
      </c>
      <c r="D77" s="53"/>
      <c r="E77" s="53"/>
      <c r="G77"/>
      <c r="H77"/>
      <c r="I77"/>
    </row>
    <row r="78" spans="1:9" s="1" customFormat="1" ht="18" customHeight="1" x14ac:dyDescent="0.25">
      <c r="A78" s="10" t="s">
        <v>175</v>
      </c>
      <c r="B78" s="10">
        <v>27206</v>
      </c>
      <c r="C78" s="8" t="s">
        <v>176</v>
      </c>
      <c r="D78" s="53">
        <f>544995.97+3268.6</f>
        <v>548264.56999999995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177</v>
      </c>
      <c r="D79" s="53"/>
      <c r="E79" s="53"/>
      <c r="G79"/>
      <c r="H79"/>
      <c r="I79"/>
    </row>
    <row r="80" spans="1:9" s="1" customFormat="1" ht="18" customHeight="1" x14ac:dyDescent="0.25">
      <c r="A80" s="10" t="s">
        <v>178</v>
      </c>
      <c r="B80" s="10">
        <v>28201</v>
      </c>
      <c r="C80" s="8" t="s">
        <v>179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180</v>
      </c>
      <c r="D81" s="53"/>
      <c r="E81" s="53"/>
      <c r="G81"/>
      <c r="H81"/>
      <c r="I81"/>
    </row>
    <row r="82" spans="1:9" s="1" customFormat="1" ht="18" customHeight="1" x14ac:dyDescent="0.25">
      <c r="A82" s="10" t="s">
        <v>181</v>
      </c>
      <c r="B82" s="10">
        <v>28401</v>
      </c>
      <c r="C82" s="8" t="s">
        <v>182</v>
      </c>
      <c r="D82" s="53"/>
      <c r="E82" s="53"/>
      <c r="G82"/>
      <c r="H82"/>
      <c r="I82"/>
    </row>
    <row r="83" spans="1:9" s="1" customFormat="1" ht="18" customHeight="1" x14ac:dyDescent="0.25">
      <c r="A83" s="10" t="s">
        <v>183</v>
      </c>
      <c r="B83" s="10">
        <v>28501</v>
      </c>
      <c r="C83" s="8" t="s">
        <v>184</v>
      </c>
      <c r="D83" s="53">
        <v>127440</v>
      </c>
      <c r="E83" s="53"/>
      <c r="G83"/>
      <c r="H83"/>
      <c r="I83"/>
    </row>
    <row r="84" spans="1:9" s="1" customFormat="1" ht="18" customHeight="1" x14ac:dyDescent="0.25">
      <c r="A84" s="10" t="s">
        <v>185</v>
      </c>
      <c r="B84" s="10">
        <v>28502</v>
      </c>
      <c r="C84" s="8" t="s">
        <v>186</v>
      </c>
      <c r="D84" s="53"/>
      <c r="E84" s="53"/>
      <c r="G84"/>
      <c r="H84"/>
      <c r="I84"/>
    </row>
    <row r="85" spans="1:9" s="1" customFormat="1" ht="18" customHeight="1" x14ac:dyDescent="0.25">
      <c r="A85" s="10" t="s">
        <v>187</v>
      </c>
      <c r="B85" s="10">
        <v>28503</v>
      </c>
      <c r="C85" s="8" t="s">
        <v>188</v>
      </c>
      <c r="D85" s="53">
        <v>88500</v>
      </c>
      <c r="E85" s="53"/>
      <c r="G85"/>
      <c r="H85"/>
      <c r="I85"/>
    </row>
    <row r="86" spans="1:9" s="1" customFormat="1" ht="18" customHeight="1" x14ac:dyDescent="0.25">
      <c r="A86" s="10" t="s">
        <v>189</v>
      </c>
      <c r="B86" s="10">
        <v>28601</v>
      </c>
      <c r="C86" s="8" t="s">
        <v>190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191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192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193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194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195</v>
      </c>
      <c r="D91" s="53"/>
      <c r="E91" s="53"/>
      <c r="G91"/>
      <c r="H91"/>
      <c r="I91"/>
    </row>
    <row r="92" spans="1:9" s="1" customFormat="1" ht="18" customHeight="1" x14ac:dyDescent="0.25">
      <c r="A92" s="10" t="s">
        <v>196</v>
      </c>
      <c r="B92" s="10">
        <v>28706</v>
      </c>
      <c r="C92" s="8" t="s">
        <v>197</v>
      </c>
      <c r="D92" s="53">
        <f>40000+2949.99</f>
        <v>42949.99</v>
      </c>
      <c r="E92" s="53"/>
      <c r="G92"/>
      <c r="H92"/>
      <c r="I92"/>
    </row>
    <row r="93" spans="1:9" s="1" customFormat="1" ht="18" customHeight="1" x14ac:dyDescent="0.25">
      <c r="A93" s="10" t="s">
        <v>198</v>
      </c>
      <c r="B93" s="10">
        <v>28801</v>
      </c>
      <c r="C93" s="8" t="s">
        <v>199</v>
      </c>
      <c r="D93" s="53">
        <v>35456.04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373</v>
      </c>
      <c r="D94" s="53"/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374</v>
      </c>
      <c r="D95" s="53">
        <v>7396.71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375</v>
      </c>
      <c r="D96" s="53">
        <v>928.56</v>
      </c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361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201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202</v>
      </c>
      <c r="D99" s="53">
        <v>1575123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362</v>
      </c>
      <c r="D100" s="53"/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203</v>
      </c>
      <c r="D101" s="57">
        <f>SUM(D102:D176)</f>
        <v>2893896.65</v>
      </c>
      <c r="E101" s="57"/>
      <c r="G101"/>
      <c r="H101"/>
      <c r="I101"/>
    </row>
    <row r="102" spans="1:9" s="1" customFormat="1" ht="18" customHeight="1" x14ac:dyDescent="0.25">
      <c r="A102" s="10" t="s">
        <v>204</v>
      </c>
      <c r="B102" s="10">
        <v>31101</v>
      </c>
      <c r="C102" s="8" t="s">
        <v>205</v>
      </c>
      <c r="D102" s="53">
        <f>226272+50894.89</f>
        <v>277166.89</v>
      </c>
      <c r="E102" s="53"/>
      <c r="G102"/>
      <c r="H102"/>
      <c r="I102"/>
    </row>
    <row r="103" spans="1:9" s="1" customFormat="1" ht="18" customHeight="1" x14ac:dyDescent="0.25">
      <c r="A103" s="10" t="s">
        <v>206</v>
      </c>
      <c r="B103" s="10">
        <v>31303</v>
      </c>
      <c r="C103" s="8" t="s">
        <v>207</v>
      </c>
      <c r="D103" s="53">
        <v>154416</v>
      </c>
      <c r="E103" s="53"/>
      <c r="G103"/>
      <c r="H103"/>
      <c r="I103"/>
    </row>
    <row r="104" spans="1:9" s="1" customFormat="1" ht="18" customHeight="1" x14ac:dyDescent="0.25">
      <c r="A104" s="10" t="s">
        <v>208</v>
      </c>
      <c r="B104" s="10">
        <v>31401</v>
      </c>
      <c r="C104" s="8" t="s">
        <v>209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210</v>
      </c>
      <c r="B105" s="10">
        <v>32101</v>
      </c>
      <c r="C105" s="8" t="s">
        <v>211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212</v>
      </c>
      <c r="B106" s="10">
        <v>32201</v>
      </c>
      <c r="C106" s="8" t="s">
        <v>213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214</v>
      </c>
      <c r="B107" s="10">
        <v>32301</v>
      </c>
      <c r="C107" s="8" t="s">
        <v>215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216</v>
      </c>
      <c r="B108" s="10">
        <v>32401</v>
      </c>
      <c r="C108" s="8" t="s">
        <v>217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218</v>
      </c>
      <c r="B109" s="10">
        <v>33101</v>
      </c>
      <c r="C109" s="8" t="s">
        <v>219</v>
      </c>
      <c r="D109" s="53">
        <v>3310</v>
      </c>
      <c r="E109" s="53"/>
      <c r="G109"/>
      <c r="H109"/>
      <c r="I109"/>
    </row>
    <row r="110" spans="1:9" s="1" customFormat="1" ht="18" customHeight="1" x14ac:dyDescent="0.25">
      <c r="A110" s="10" t="s">
        <v>220</v>
      </c>
      <c r="B110" s="10">
        <v>33201</v>
      </c>
      <c r="C110" s="8" t="s">
        <v>221</v>
      </c>
      <c r="D110" s="53">
        <f>256791.6+3694</f>
        <v>260485.6</v>
      </c>
      <c r="E110" s="53"/>
      <c r="G110"/>
      <c r="H110"/>
      <c r="I110"/>
    </row>
    <row r="111" spans="1:9" s="1" customFormat="1" ht="18" customHeight="1" x14ac:dyDescent="0.25">
      <c r="A111" s="10" t="s">
        <v>222</v>
      </c>
      <c r="B111" s="10">
        <v>33301</v>
      </c>
      <c r="C111" s="8" t="s">
        <v>223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224</v>
      </c>
      <c r="B112" s="10">
        <v>33401</v>
      </c>
      <c r="C112" s="8" t="s">
        <v>225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227</v>
      </c>
      <c r="D113" s="53"/>
      <c r="E113" s="53"/>
      <c r="G113"/>
      <c r="H113"/>
      <c r="I113"/>
    </row>
    <row r="114" spans="1:9" s="1" customFormat="1" ht="18" customHeight="1" x14ac:dyDescent="0.25">
      <c r="A114" s="10" t="s">
        <v>228</v>
      </c>
      <c r="B114" s="10">
        <v>34101</v>
      </c>
      <c r="C114" s="8" t="s">
        <v>229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230</v>
      </c>
      <c r="B115" s="10">
        <v>35101</v>
      </c>
      <c r="C115" s="8" t="s">
        <v>231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232</v>
      </c>
      <c r="B116" s="10">
        <v>35201</v>
      </c>
      <c r="C116" s="8" t="s">
        <v>233</v>
      </c>
      <c r="D116" s="53"/>
      <c r="E116" s="53"/>
      <c r="G116"/>
      <c r="H116"/>
      <c r="I116"/>
    </row>
    <row r="117" spans="1:9" ht="18" customHeight="1" x14ac:dyDescent="0.25">
      <c r="A117" s="10" t="s">
        <v>234</v>
      </c>
      <c r="B117" s="10">
        <v>35301</v>
      </c>
      <c r="C117" s="8" t="s">
        <v>235</v>
      </c>
      <c r="D117" s="53"/>
      <c r="E117" s="53"/>
    </row>
    <row r="118" spans="1:9" ht="18" customHeight="1" x14ac:dyDescent="0.25">
      <c r="A118" s="10" t="s">
        <v>236</v>
      </c>
      <c r="B118" s="10">
        <v>35401</v>
      </c>
      <c r="C118" s="8" t="s">
        <v>237</v>
      </c>
      <c r="D118" s="53"/>
      <c r="E118" s="53"/>
    </row>
    <row r="119" spans="1:9" ht="18" customHeight="1" x14ac:dyDescent="0.25">
      <c r="A119" s="10" t="s">
        <v>238</v>
      </c>
      <c r="B119" s="10">
        <v>35501</v>
      </c>
      <c r="C119" s="8" t="s">
        <v>239</v>
      </c>
      <c r="D119" s="53">
        <f>40415+117.43</f>
        <v>40532.43</v>
      </c>
      <c r="E119" s="53"/>
    </row>
    <row r="120" spans="1:9" ht="18" customHeight="1" x14ac:dyDescent="0.25">
      <c r="A120" s="10" t="s">
        <v>240</v>
      </c>
      <c r="B120" s="10">
        <v>36101</v>
      </c>
      <c r="C120" s="8" t="s">
        <v>241</v>
      </c>
      <c r="D120" s="53">
        <v>159.99</v>
      </c>
      <c r="E120" s="53"/>
    </row>
    <row r="121" spans="1:9" ht="18" customHeight="1" x14ac:dyDescent="0.25">
      <c r="A121" s="10"/>
      <c r="B121" s="10">
        <v>36102</v>
      </c>
      <c r="C121" s="8" t="s">
        <v>242</v>
      </c>
      <c r="D121" s="53"/>
      <c r="E121" s="53"/>
    </row>
    <row r="122" spans="1:9" ht="18" customHeight="1" x14ac:dyDescent="0.25">
      <c r="A122" s="10" t="s">
        <v>243</v>
      </c>
      <c r="B122" s="10">
        <v>36104</v>
      </c>
      <c r="C122" s="8" t="s">
        <v>244</v>
      </c>
      <c r="D122" s="53"/>
      <c r="E122" s="53"/>
    </row>
    <row r="123" spans="1:9" ht="18" customHeight="1" x14ac:dyDescent="0.25">
      <c r="A123" s="10" t="s">
        <v>245</v>
      </c>
      <c r="B123" s="10">
        <v>36201</v>
      </c>
      <c r="C123" s="8" t="s">
        <v>246</v>
      </c>
      <c r="D123" s="53">
        <v>852</v>
      </c>
      <c r="E123" s="53"/>
    </row>
    <row r="124" spans="1:9" ht="18" customHeight="1" x14ac:dyDescent="0.25">
      <c r="A124" s="10" t="s">
        <v>247</v>
      </c>
      <c r="B124" s="10">
        <v>36202</v>
      </c>
      <c r="C124" s="8" t="s">
        <v>248</v>
      </c>
      <c r="D124" s="53"/>
      <c r="E124" s="53"/>
    </row>
    <row r="125" spans="1:9" ht="18" customHeight="1" x14ac:dyDescent="0.25">
      <c r="A125" s="10" t="s">
        <v>249</v>
      </c>
      <c r="B125" s="10">
        <v>36203</v>
      </c>
      <c r="C125" s="8" t="s">
        <v>250</v>
      </c>
      <c r="D125" s="53">
        <v>195</v>
      </c>
      <c r="E125" s="53"/>
    </row>
    <row r="126" spans="1:9" ht="18" customHeight="1" x14ac:dyDescent="0.25">
      <c r="A126" s="10" t="s">
        <v>251</v>
      </c>
      <c r="B126" s="10">
        <v>36301</v>
      </c>
      <c r="C126" s="8" t="s">
        <v>252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248</v>
      </c>
      <c r="D127" s="53"/>
      <c r="E127" s="53"/>
    </row>
    <row r="128" spans="1:9" ht="18" customHeight="1" x14ac:dyDescent="0.25">
      <c r="A128" s="10" t="s">
        <v>253</v>
      </c>
      <c r="B128" s="10">
        <v>36303</v>
      </c>
      <c r="C128" s="8" t="s">
        <v>254</v>
      </c>
      <c r="D128" s="53"/>
      <c r="E128" s="53"/>
    </row>
    <row r="129" spans="1:9" ht="18" customHeight="1" x14ac:dyDescent="0.25">
      <c r="A129" s="10" t="s">
        <v>255</v>
      </c>
      <c r="B129" s="10">
        <v>36304</v>
      </c>
      <c r="C129" s="8" t="s">
        <v>256</v>
      </c>
      <c r="D129" s="53">
        <v>1128.76</v>
      </c>
      <c r="E129" s="53"/>
    </row>
    <row r="130" spans="1:9" s="1" customFormat="1" ht="18" customHeight="1" x14ac:dyDescent="0.25">
      <c r="A130" s="10" t="s">
        <v>255</v>
      </c>
      <c r="B130" s="10">
        <v>36306</v>
      </c>
      <c r="C130" s="8" t="s">
        <v>257</v>
      </c>
      <c r="D130" s="53">
        <v>1075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258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364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243</v>
      </c>
      <c r="B133" s="51">
        <v>36403</v>
      </c>
      <c r="C133" s="52" t="s">
        <v>259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260</v>
      </c>
      <c r="B134" s="51">
        <v>37101</v>
      </c>
      <c r="C134" s="52" t="s">
        <v>261</v>
      </c>
      <c r="D134" s="53"/>
      <c r="E134" s="53"/>
      <c r="G134"/>
      <c r="H134"/>
      <c r="I134"/>
    </row>
    <row r="135" spans="1:9" s="1" customFormat="1" ht="18" customHeight="1" x14ac:dyDescent="0.25">
      <c r="A135" s="10" t="s">
        <v>262</v>
      </c>
      <c r="B135" s="51">
        <v>37102</v>
      </c>
      <c r="C135" s="52" t="s">
        <v>263</v>
      </c>
      <c r="D135" s="53">
        <v>41320</v>
      </c>
      <c r="E135" s="53"/>
      <c r="G135"/>
      <c r="H135"/>
      <c r="I135"/>
    </row>
    <row r="136" spans="1:9" s="1" customFormat="1" ht="18" customHeight="1" x14ac:dyDescent="0.25">
      <c r="A136" s="10" t="s">
        <v>264</v>
      </c>
      <c r="B136" s="51">
        <v>37104</v>
      </c>
      <c r="C136" s="52" t="s">
        <v>265</v>
      </c>
      <c r="D136" s="53">
        <v>500</v>
      </c>
      <c r="E136" s="53"/>
      <c r="G136"/>
      <c r="H136"/>
      <c r="I136"/>
    </row>
    <row r="137" spans="1:9" s="1" customFormat="1" ht="18" customHeight="1" x14ac:dyDescent="0.25">
      <c r="A137" s="10" t="s">
        <v>266</v>
      </c>
      <c r="B137" s="51">
        <v>37105</v>
      </c>
      <c r="C137" s="52" t="s">
        <v>267</v>
      </c>
      <c r="D137" s="53"/>
      <c r="E137" s="53"/>
      <c r="G137"/>
      <c r="H137"/>
      <c r="I137"/>
    </row>
    <row r="138" spans="1:9" s="1" customFormat="1" ht="18" customHeight="1" x14ac:dyDescent="0.25">
      <c r="A138" s="10" t="s">
        <v>268</v>
      </c>
      <c r="B138" s="51">
        <v>37106</v>
      </c>
      <c r="C138" s="52" t="s">
        <v>269</v>
      </c>
      <c r="D138" s="53"/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270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271</v>
      </c>
      <c r="B140" s="10">
        <v>37203</v>
      </c>
      <c r="C140" s="8" t="s">
        <v>272</v>
      </c>
      <c r="D140" s="53">
        <v>11210</v>
      </c>
      <c r="E140" s="53"/>
      <c r="G140"/>
      <c r="H140"/>
      <c r="I140"/>
    </row>
    <row r="141" spans="1:9" s="1" customFormat="1" ht="18" customHeight="1" x14ac:dyDescent="0.25">
      <c r="A141" s="10" t="s">
        <v>273</v>
      </c>
      <c r="B141" s="10">
        <v>37205</v>
      </c>
      <c r="C141" s="8" t="s">
        <v>274</v>
      </c>
      <c r="D141" s="53">
        <v>588</v>
      </c>
      <c r="E141" s="53"/>
      <c r="G141"/>
      <c r="H141"/>
      <c r="I141"/>
    </row>
    <row r="142" spans="1:9" s="1" customFormat="1" ht="18" customHeight="1" x14ac:dyDescent="0.25">
      <c r="A142" s="10" t="s">
        <v>275</v>
      </c>
      <c r="B142" s="10">
        <v>37206</v>
      </c>
      <c r="C142" s="8" t="s">
        <v>276</v>
      </c>
      <c r="D142" s="53"/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277</v>
      </c>
      <c r="D143" s="53"/>
      <c r="E143" s="53"/>
      <c r="G143"/>
      <c r="H143"/>
      <c r="I143"/>
    </row>
    <row r="144" spans="1:9" s="1" customFormat="1" ht="18" customHeight="1" x14ac:dyDescent="0.25">
      <c r="A144" s="10" t="s">
        <v>278</v>
      </c>
      <c r="B144" s="51">
        <v>39101</v>
      </c>
      <c r="C144" s="52" t="s">
        <v>279</v>
      </c>
      <c r="D144" s="53">
        <v>114985.1</v>
      </c>
      <c r="E144" s="53"/>
      <c r="G144"/>
      <c r="H144"/>
      <c r="I144"/>
    </row>
    <row r="145" spans="1:9" s="1" customFormat="1" ht="18" customHeight="1" x14ac:dyDescent="0.25">
      <c r="A145" s="10" t="s">
        <v>280</v>
      </c>
      <c r="B145" s="51">
        <v>39201</v>
      </c>
      <c r="C145" s="52" t="s">
        <v>281</v>
      </c>
      <c r="D145" s="53">
        <f>1484965.1+2894</f>
        <v>1487859.1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282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283</v>
      </c>
      <c r="B147" s="51">
        <v>39501</v>
      </c>
      <c r="C147" s="52" t="s">
        <v>284</v>
      </c>
      <c r="D147" s="53">
        <f>63425+1733.25</f>
        <v>65158.25</v>
      </c>
      <c r="E147" s="53"/>
      <c r="G147"/>
      <c r="H147"/>
      <c r="I147"/>
    </row>
    <row r="148" spans="1:9" s="1" customFormat="1" ht="18" customHeight="1" x14ac:dyDescent="0.25">
      <c r="A148" s="10" t="s">
        <v>285</v>
      </c>
      <c r="B148" s="10">
        <v>39601</v>
      </c>
      <c r="C148" s="8" t="s">
        <v>286</v>
      </c>
      <c r="D148" s="53">
        <f>428576+495</f>
        <v>429071</v>
      </c>
      <c r="E148" s="53"/>
      <c r="G148"/>
      <c r="H148"/>
      <c r="I148"/>
    </row>
    <row r="149" spans="1:9" s="1" customFormat="1" ht="18" customHeight="1" x14ac:dyDescent="0.25">
      <c r="A149" s="10" t="s">
        <v>287</v>
      </c>
      <c r="B149" s="10">
        <v>39801</v>
      </c>
      <c r="C149" s="8" t="s">
        <v>288</v>
      </c>
      <c r="D149" s="53"/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353</v>
      </c>
      <c r="D150" s="53"/>
      <c r="E150" s="53"/>
      <c r="G150"/>
      <c r="H150"/>
      <c r="I150"/>
    </row>
    <row r="151" spans="1:9" s="1" customFormat="1" ht="18" customHeight="1" x14ac:dyDescent="0.25">
      <c r="A151" s="10" t="s">
        <v>289</v>
      </c>
      <c r="B151" s="10">
        <v>39901</v>
      </c>
      <c r="C151" s="8" t="s">
        <v>290</v>
      </c>
      <c r="D151" s="53">
        <v>3683.53</v>
      </c>
      <c r="E151" s="53"/>
      <c r="G151"/>
      <c r="H151"/>
      <c r="I151"/>
    </row>
    <row r="152" spans="1:9" s="1" customFormat="1" ht="18" customHeight="1" x14ac:dyDescent="0.25">
      <c r="A152" s="10" t="s">
        <v>289</v>
      </c>
      <c r="B152" s="10">
        <v>39902</v>
      </c>
      <c r="C152" s="8" t="s">
        <v>291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292</v>
      </c>
      <c r="D153" s="53">
        <v>200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293</v>
      </c>
      <c r="D154" s="53"/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294</v>
      </c>
      <c r="D155" s="57"/>
      <c r="E155" s="57"/>
      <c r="G155"/>
      <c r="H155"/>
      <c r="I155"/>
    </row>
    <row r="156" spans="1:9" s="1" customFormat="1" ht="18" customHeight="1" x14ac:dyDescent="0.25">
      <c r="A156" s="10" t="s">
        <v>295</v>
      </c>
      <c r="B156" s="10">
        <v>41103</v>
      </c>
      <c r="C156" s="8" t="s">
        <v>296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297</v>
      </c>
      <c r="B157" s="10">
        <v>41201</v>
      </c>
      <c r="C157" s="8" t="s">
        <v>298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299</v>
      </c>
      <c r="B158" s="10">
        <v>41202</v>
      </c>
      <c r="C158" s="8" t="s">
        <v>300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301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302</v>
      </c>
      <c r="B160" s="10">
        <v>41402</v>
      </c>
      <c r="C160" s="8" t="s">
        <v>303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304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305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306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307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308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309</v>
      </c>
      <c r="B166" s="10">
        <v>44102</v>
      </c>
      <c r="C166" s="8" t="s">
        <v>310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311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358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77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314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77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315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316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42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315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317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318</v>
      </c>
      <c r="C177" s="98"/>
      <c r="D177" s="62">
        <f>+E15-E16</f>
        <v>714334192.6400001</v>
      </c>
      <c r="E177" s="62">
        <f>+E15-E16</f>
        <v>714334192.6400001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319</v>
      </c>
      <c r="B185" s="23">
        <v>6</v>
      </c>
      <c r="C185" s="5" t="s">
        <v>320</v>
      </c>
      <c r="D185" s="12">
        <f>SUM(D186:D208)</f>
        <v>6425345.79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321</v>
      </c>
      <c r="D186" s="53">
        <v>2361425.79</v>
      </c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322</v>
      </c>
      <c r="D187" s="53">
        <v>2932300</v>
      </c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323</v>
      </c>
      <c r="D188" s="53">
        <v>217120</v>
      </c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324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325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326</v>
      </c>
      <c r="D191" s="53">
        <v>914500</v>
      </c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327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328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329</v>
      </c>
      <c r="D194" s="53"/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330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331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332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333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334</v>
      </c>
      <c r="D199" s="53"/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335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336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337</v>
      </c>
      <c r="D202" s="53"/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338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339</v>
      </c>
      <c r="D204" s="53"/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340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341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342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359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343</v>
      </c>
      <c r="D209" s="57">
        <f>SUM(D210:D211)</f>
        <v>0</v>
      </c>
      <c r="E209" s="25"/>
      <c r="G209"/>
      <c r="H209"/>
      <c r="I209"/>
    </row>
    <row r="210" spans="1:9" s="1" customFormat="1" x14ac:dyDescent="0.25">
      <c r="A210" s="27" t="s">
        <v>344</v>
      </c>
      <c r="B210" s="10">
        <v>71201</v>
      </c>
      <c r="C210" s="8" t="s">
        <v>345</v>
      </c>
      <c r="D210" s="24"/>
      <c r="E210" s="25"/>
      <c r="G210"/>
      <c r="H210"/>
      <c r="I210"/>
    </row>
    <row r="211" spans="1:9" s="1" customFormat="1" x14ac:dyDescent="0.25">
      <c r="A211" s="27" t="s">
        <v>346</v>
      </c>
      <c r="B211" s="10">
        <v>71501</v>
      </c>
      <c r="C211" s="8" t="s">
        <v>347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6425345.79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376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377</v>
      </c>
      <c r="E218" s="21"/>
      <c r="G218"/>
      <c r="H218"/>
      <c r="I218"/>
    </row>
    <row r="219" spans="1:9" s="1" customFormat="1" x14ac:dyDescent="0.25">
      <c r="A219"/>
      <c r="B219"/>
      <c r="C219" s="2" t="s">
        <v>349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portrait" r:id="rId1"/>
  <ignoredErrors>
    <ignoredError sqref="A11:A23 A26:A27 A32:A35 A39:A41 A53:A59 A63:A78 A80:A93 A102:A172 A44:A5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workbookViewId="0">
      <selection activeCell="AD22" sqref="AD22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5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378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379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89" t="s">
        <v>11</v>
      </c>
    </row>
    <row r="9" spans="1:27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22</v>
      </c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9">
        <v>816617287.74000001</v>
      </c>
    </row>
    <row r="12" spans="1:27" x14ac:dyDescent="0.25">
      <c r="A12" t="s">
        <v>24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9">
        <v>109948913.91</v>
      </c>
    </row>
    <row r="13" spans="1:27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9">
        <v>18453831.82</v>
      </c>
    </row>
    <row r="14" spans="1:27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81">
        <f>SUM(Z11:Z14)</f>
        <v>945020033.47000003</v>
      </c>
    </row>
    <row r="16" spans="1:27" x14ac:dyDescent="0.25">
      <c r="Z16" s="61"/>
    </row>
    <row r="17" spans="1:26" x14ac:dyDescent="0.25">
      <c r="A17" s="90" t="s">
        <v>28</v>
      </c>
      <c r="Z17" s="61"/>
    </row>
    <row r="18" spans="1:26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513551902.69999999</v>
      </c>
    </row>
    <row r="19" spans="1:26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64819608.780000001</v>
      </c>
    </row>
    <row r="20" spans="1:26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-169162927.90000001</v>
      </c>
    </row>
    <row r="21" spans="1:26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43678901.200000003</v>
      </c>
    </row>
    <row r="22" spans="1:26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452887484.78000003</v>
      </c>
    </row>
    <row r="23" spans="1:26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1397907518.25</v>
      </c>
    </row>
    <row r="24" spans="1:26" ht="15.75" thickTop="1" x14ac:dyDescent="0.25"/>
    <row r="25" spans="1:26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22</v>
      </c>
    </row>
    <row r="27" spans="1:26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48140.4</v>
      </c>
    </row>
    <row r="28" spans="1:26" x14ac:dyDescent="0.25">
      <c r="A28" t="s">
        <v>37</v>
      </c>
      <c r="Z28" s="60">
        <v>7947593.1900000004</v>
      </c>
    </row>
    <row r="29" spans="1:26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/>
    </row>
    <row r="30" spans="1:26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7995733.5900000008</v>
      </c>
    </row>
    <row r="32" spans="1:26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7995733.5900000008</v>
      </c>
      <c r="AD33" s="37"/>
      <c r="AE33" s="1"/>
    </row>
    <row r="35" spans="1:31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</f>
        <v>60861369.449999958</v>
      </c>
      <c r="AD39" s="37"/>
    </row>
    <row r="40" spans="1:31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1389911784.6599998</v>
      </c>
      <c r="AE40" s="37"/>
    </row>
    <row r="41" spans="1:31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Y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>+Z33+Z40</f>
        <v>1397907518.2499998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380</v>
      </c>
      <c r="G45" s="1">
        <f>+G41-G23</f>
        <v>0</v>
      </c>
    </row>
    <row r="46" spans="1:31" x14ac:dyDescent="0.25">
      <c r="A46" s="92" t="s">
        <v>381</v>
      </c>
    </row>
    <row r="47" spans="1:31" x14ac:dyDescent="0.25">
      <c r="A47" t="s">
        <v>52</v>
      </c>
    </row>
    <row r="48" spans="1:31" x14ac:dyDescent="0.25">
      <c r="A48" s="91" t="s">
        <v>53</v>
      </c>
    </row>
    <row r="49" spans="1:1" x14ac:dyDescent="0.25">
      <c r="A49" s="92" t="s">
        <v>54</v>
      </c>
    </row>
    <row r="260" spans="27:27" x14ac:dyDescent="0.25">
      <c r="AA260" t="s">
        <v>3</v>
      </c>
    </row>
  </sheetData>
  <mergeCells count="7">
    <mergeCell ref="A6:Z6"/>
    <mergeCell ref="A7:Z7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selection activeCell="D20" sqref="D20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382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/>
      <c r="E9" s="71"/>
    </row>
    <row r="10" spans="1:7" x14ac:dyDescent="0.25">
      <c r="A10" s="10" t="s">
        <v>64</v>
      </c>
      <c r="B10" s="7" t="s">
        <v>65</v>
      </c>
      <c r="C10" s="8" t="s">
        <v>383</v>
      </c>
      <c r="D10" s="82">
        <v>179792705.12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663073391.39999998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4516541.3899999997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93">
        <v>1338047.45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4" t="s">
        <v>77</v>
      </c>
      <c r="D15" s="9"/>
      <c r="E15" s="85">
        <f>SUM(D10:D14)</f>
        <v>848720685.36000001</v>
      </c>
    </row>
    <row r="16" spans="1:7" x14ac:dyDescent="0.25">
      <c r="A16" s="51"/>
      <c r="B16" s="51"/>
      <c r="C16" s="83" t="s">
        <v>78</v>
      </c>
      <c r="D16" s="64">
        <f>+D17+D43+D101+D155+D185</f>
        <v>81917832.51000002</v>
      </c>
      <c r="E16" s="64">
        <f>+D16</f>
        <v>81917832.51000002</v>
      </c>
    </row>
    <row r="17" spans="1:9" x14ac:dyDescent="0.25">
      <c r="A17" s="51"/>
      <c r="B17" s="69">
        <v>1</v>
      </c>
      <c r="C17" s="63" t="s">
        <v>79</v>
      </c>
      <c r="D17" s="57">
        <f>SUM(D18:D42)</f>
        <v>33117276.720000003</v>
      </c>
      <c r="E17" s="57" t="s">
        <v>3</v>
      </c>
    </row>
    <row r="18" spans="1:9" ht="18" customHeight="1" x14ac:dyDescent="0.25">
      <c r="A18" s="51" t="s">
        <v>80</v>
      </c>
      <c r="B18" s="51">
        <v>11101</v>
      </c>
      <c r="C18" s="52" t="s">
        <v>81</v>
      </c>
      <c r="D18" s="53">
        <f>19337069.53+875000</f>
        <v>20212069.530000001</v>
      </c>
      <c r="E18" s="53"/>
    </row>
    <row r="19" spans="1:9" ht="18" customHeight="1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ht="18" customHeight="1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ht="18" customHeight="1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18" customHeight="1" x14ac:dyDescent="0.25">
      <c r="A22" s="10" t="s">
        <v>88</v>
      </c>
      <c r="B22" s="10">
        <v>11205</v>
      </c>
      <c r="C22" s="8" t="s">
        <v>89</v>
      </c>
      <c r="D22" s="65"/>
      <c r="E22" s="9"/>
    </row>
    <row r="23" spans="1:9" ht="18" customHeight="1" x14ac:dyDescent="0.25">
      <c r="A23" s="10"/>
      <c r="B23" s="10">
        <v>11208</v>
      </c>
      <c r="C23" s="8" t="s">
        <v>90</v>
      </c>
      <c r="D23" s="65">
        <v>6785000</v>
      </c>
      <c r="E23" s="9"/>
    </row>
    <row r="24" spans="1:9" ht="18" customHeight="1" x14ac:dyDescent="0.25">
      <c r="A24" s="10"/>
      <c r="B24" s="10">
        <v>11210</v>
      </c>
      <c r="C24" s="8" t="s">
        <v>91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92</v>
      </c>
      <c r="D25" s="53">
        <v>49000</v>
      </c>
      <c r="E25" s="53"/>
    </row>
    <row r="26" spans="1:9" ht="18" customHeight="1" x14ac:dyDescent="0.25">
      <c r="A26" s="10" t="s">
        <v>93</v>
      </c>
      <c r="B26" s="10">
        <v>11401</v>
      </c>
      <c r="C26" s="8" t="s">
        <v>370</v>
      </c>
      <c r="D26" s="53"/>
      <c r="E26" s="53"/>
    </row>
    <row r="27" spans="1:9" ht="18" customHeight="1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97</v>
      </c>
      <c r="D28" s="53">
        <v>180000</v>
      </c>
      <c r="E28" s="53"/>
    </row>
    <row r="29" spans="1:9" ht="18" customHeight="1" x14ac:dyDescent="0.25">
      <c r="A29" s="10"/>
      <c r="B29" s="10">
        <v>11504</v>
      </c>
      <c r="C29" s="8" t="s">
        <v>98</v>
      </c>
      <c r="D29" s="53">
        <v>323027.23</v>
      </c>
      <c r="E29" s="53"/>
    </row>
    <row r="30" spans="1:9" ht="18" customHeight="1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100</v>
      </c>
      <c r="D31" s="53"/>
      <c r="E31" s="53"/>
    </row>
    <row r="32" spans="1:9" ht="18" customHeight="1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6" ht="18" customHeight="1" x14ac:dyDescent="0.25">
      <c r="A33" s="10" t="s">
        <v>103</v>
      </c>
      <c r="B33" s="10">
        <v>12205</v>
      </c>
      <c r="C33" s="8" t="s">
        <v>104</v>
      </c>
      <c r="D33" s="53">
        <v>1470000</v>
      </c>
      <c r="E33" s="53"/>
    </row>
    <row r="34" spans="1:6" ht="18" customHeight="1" x14ac:dyDescent="0.25">
      <c r="A34" s="10" t="s">
        <v>105</v>
      </c>
      <c r="B34" s="10">
        <v>12206</v>
      </c>
      <c r="C34" s="8" t="s">
        <v>106</v>
      </c>
      <c r="D34" s="53"/>
      <c r="E34" s="53"/>
    </row>
    <row r="35" spans="1:6" ht="18" customHeight="1" x14ac:dyDescent="0.25">
      <c r="A35" s="10" t="s">
        <v>107</v>
      </c>
      <c r="B35" s="10">
        <v>12209</v>
      </c>
      <c r="C35" s="8" t="s">
        <v>108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109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100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110</v>
      </c>
      <c r="D38" s="53"/>
      <c r="E38" s="53"/>
    </row>
    <row r="39" spans="1:6" ht="18" customHeight="1" x14ac:dyDescent="0.25">
      <c r="A39" s="10" t="s">
        <v>111</v>
      </c>
      <c r="B39" s="10">
        <v>13101</v>
      </c>
      <c r="C39" s="8" t="s">
        <v>112</v>
      </c>
      <c r="D39" s="53"/>
      <c r="E39" s="53"/>
    </row>
    <row r="40" spans="1:6" ht="18" customHeight="1" x14ac:dyDescent="0.25">
      <c r="A40" s="10" t="s">
        <v>113</v>
      </c>
      <c r="B40" s="10">
        <v>15101</v>
      </c>
      <c r="C40" s="8" t="s">
        <v>114</v>
      </c>
      <c r="D40" s="54">
        <f>1848270.44+62037.5</f>
        <v>1910307.94</v>
      </c>
      <c r="E40" s="53"/>
    </row>
    <row r="41" spans="1:6" ht="18" customHeight="1" x14ac:dyDescent="0.25">
      <c r="A41" s="10" t="s">
        <v>115</v>
      </c>
      <c r="B41" s="10">
        <v>15201</v>
      </c>
      <c r="C41" s="8" t="s">
        <v>116</v>
      </c>
      <c r="D41" s="53">
        <f>1858145.95+62125</f>
        <v>1920270.95</v>
      </c>
      <c r="E41" s="53"/>
    </row>
    <row r="42" spans="1:6" ht="18" customHeight="1" x14ac:dyDescent="0.25">
      <c r="A42" s="10"/>
      <c r="B42" s="10">
        <v>15301</v>
      </c>
      <c r="C42" s="8" t="s">
        <v>117</v>
      </c>
      <c r="D42" s="53">
        <f>257976.07+9625</f>
        <v>267601.07</v>
      </c>
      <c r="E42" s="53"/>
    </row>
    <row r="43" spans="1:6" ht="18" customHeight="1" x14ac:dyDescent="0.25">
      <c r="A43" s="51"/>
      <c r="B43" s="69">
        <v>2</v>
      </c>
      <c r="C43" s="63" t="s">
        <v>118</v>
      </c>
      <c r="D43" s="57">
        <f>SUM(D44:D100)</f>
        <v>10730725.18</v>
      </c>
      <c r="E43" s="57"/>
    </row>
    <row r="44" spans="1:6" ht="18" customHeight="1" x14ac:dyDescent="0.25">
      <c r="A44" s="10" t="s">
        <v>119</v>
      </c>
      <c r="B44" s="10">
        <v>21201</v>
      </c>
      <c r="C44" s="8" t="s">
        <v>120</v>
      </c>
      <c r="D44" s="54">
        <v>4351.6499999999996</v>
      </c>
      <c r="E44" s="53"/>
    </row>
    <row r="45" spans="1:6" ht="18" customHeight="1" x14ac:dyDescent="0.25">
      <c r="A45" s="10" t="s">
        <v>121</v>
      </c>
      <c r="B45" s="10">
        <v>21301</v>
      </c>
      <c r="C45" s="8" t="s">
        <v>122</v>
      </c>
      <c r="D45" s="53">
        <v>39580.97</v>
      </c>
      <c r="E45" s="53"/>
    </row>
    <row r="46" spans="1:6" ht="18" customHeight="1" x14ac:dyDescent="0.25">
      <c r="A46" s="10" t="s">
        <v>123</v>
      </c>
      <c r="B46" s="10">
        <v>21401</v>
      </c>
      <c r="C46" s="8" t="s">
        <v>124</v>
      </c>
      <c r="D46" s="53">
        <v>4837</v>
      </c>
      <c r="E46" s="53"/>
    </row>
    <row r="47" spans="1:6" ht="18" customHeight="1" x14ac:dyDescent="0.25">
      <c r="A47" s="10" t="s">
        <v>125</v>
      </c>
      <c r="B47" s="10">
        <v>21501</v>
      </c>
      <c r="C47" s="8" t="s">
        <v>126</v>
      </c>
      <c r="D47" s="53">
        <v>997041.03</v>
      </c>
      <c r="E47" s="53"/>
      <c r="F47"/>
    </row>
    <row r="48" spans="1:6" ht="18" customHeight="1" x14ac:dyDescent="0.25">
      <c r="A48" s="10" t="s">
        <v>127</v>
      </c>
      <c r="B48" s="10">
        <v>21601</v>
      </c>
      <c r="C48" s="8" t="s">
        <v>128</v>
      </c>
      <c r="D48" s="53">
        <v>2608888.23</v>
      </c>
      <c r="E48" s="53"/>
      <c r="F48"/>
    </row>
    <row r="49" spans="1:6" ht="18" customHeight="1" x14ac:dyDescent="0.25">
      <c r="A49" s="10" t="s">
        <v>129</v>
      </c>
      <c r="B49" s="10">
        <v>21701</v>
      </c>
      <c r="C49" s="8" t="s">
        <v>130</v>
      </c>
      <c r="D49" s="53">
        <v>7281.29</v>
      </c>
      <c r="E49" s="53"/>
      <c r="F49"/>
    </row>
    <row r="50" spans="1:6" ht="18" customHeight="1" x14ac:dyDescent="0.25">
      <c r="A50" s="10" t="s">
        <v>131</v>
      </c>
      <c r="B50" s="10">
        <v>21801</v>
      </c>
      <c r="C50" s="8" t="s">
        <v>132</v>
      </c>
      <c r="D50" s="53">
        <f>1000+8144</f>
        <v>9144</v>
      </c>
      <c r="E50" s="53"/>
      <c r="F50"/>
    </row>
    <row r="51" spans="1:6" ht="18" customHeight="1" x14ac:dyDescent="0.25">
      <c r="A51" s="10" t="s">
        <v>133</v>
      </c>
      <c r="B51" s="10">
        <v>22101</v>
      </c>
      <c r="C51" s="8" t="s">
        <v>134</v>
      </c>
      <c r="D51" s="53">
        <f>40000+973500</f>
        <v>1013500</v>
      </c>
      <c r="E51" s="53"/>
      <c r="F51"/>
    </row>
    <row r="52" spans="1:6" ht="18" customHeight="1" x14ac:dyDescent="0.25">
      <c r="A52" s="10"/>
      <c r="B52" s="10">
        <v>22103</v>
      </c>
      <c r="C52" s="8" t="s">
        <v>371</v>
      </c>
      <c r="D52" s="53"/>
      <c r="E52" s="53"/>
      <c r="F52"/>
    </row>
    <row r="53" spans="1:6" ht="18" customHeight="1" x14ac:dyDescent="0.25">
      <c r="A53" s="10" t="s">
        <v>135</v>
      </c>
      <c r="B53" s="10">
        <v>22201</v>
      </c>
      <c r="C53" s="8" t="s">
        <v>136</v>
      </c>
      <c r="D53" s="53"/>
      <c r="E53" s="53"/>
      <c r="F53"/>
    </row>
    <row r="54" spans="1:6" ht="18" customHeight="1" x14ac:dyDescent="0.25">
      <c r="A54" s="10" t="s">
        <v>137</v>
      </c>
      <c r="B54" s="10">
        <v>23101</v>
      </c>
      <c r="C54" s="8" t="s">
        <v>138</v>
      </c>
      <c r="D54" s="53">
        <f>79750+798400</f>
        <v>878150</v>
      </c>
      <c r="E54" s="53"/>
      <c r="F54"/>
    </row>
    <row r="55" spans="1:6" ht="18" customHeight="1" x14ac:dyDescent="0.25">
      <c r="A55" s="10" t="s">
        <v>139</v>
      </c>
      <c r="B55" s="10">
        <v>23201</v>
      </c>
      <c r="C55" s="8" t="s">
        <v>140</v>
      </c>
      <c r="D55" s="53"/>
      <c r="E55" s="53"/>
      <c r="F55"/>
    </row>
    <row r="56" spans="1:6" ht="18" customHeight="1" x14ac:dyDescent="0.25">
      <c r="A56" s="10" t="s">
        <v>141</v>
      </c>
      <c r="B56" s="10">
        <v>24101</v>
      </c>
      <c r="C56" s="8" t="s">
        <v>372</v>
      </c>
      <c r="D56" s="53">
        <v>100</v>
      </c>
      <c r="E56" s="53"/>
      <c r="F56"/>
    </row>
    <row r="57" spans="1:6" ht="18" customHeight="1" x14ac:dyDescent="0.25">
      <c r="A57" s="10" t="s">
        <v>143</v>
      </c>
      <c r="B57" s="10">
        <v>24201</v>
      </c>
      <c r="C57" s="8" t="s">
        <v>144</v>
      </c>
      <c r="D57" s="53"/>
      <c r="E57" s="53"/>
      <c r="F57"/>
    </row>
    <row r="58" spans="1:6" ht="18" customHeight="1" x14ac:dyDescent="0.25">
      <c r="A58" s="10" t="s">
        <v>145</v>
      </c>
      <c r="B58" s="10">
        <v>24401</v>
      </c>
      <c r="C58" s="8" t="s">
        <v>146</v>
      </c>
      <c r="D58" s="53">
        <v>101120</v>
      </c>
      <c r="E58" s="53"/>
      <c r="F58"/>
    </row>
    <row r="59" spans="1:6" ht="18" customHeight="1" x14ac:dyDescent="0.25">
      <c r="A59" s="10" t="s">
        <v>147</v>
      </c>
      <c r="B59" s="10">
        <v>25101</v>
      </c>
      <c r="C59" s="8" t="s">
        <v>148</v>
      </c>
      <c r="D59" s="53">
        <v>443800</v>
      </c>
      <c r="E59" s="53"/>
      <c r="F59"/>
    </row>
    <row r="60" spans="1:6" ht="18" customHeight="1" x14ac:dyDescent="0.25">
      <c r="A60" s="10"/>
      <c r="B60" s="10">
        <v>25302</v>
      </c>
      <c r="C60" s="8" t="s">
        <v>149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150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151</v>
      </c>
      <c r="D62" s="53"/>
      <c r="E62" s="53"/>
    </row>
    <row r="63" spans="1:6" ht="18" customHeight="1" x14ac:dyDescent="0.25">
      <c r="A63" s="10" t="s">
        <v>152</v>
      </c>
      <c r="B63" s="10">
        <v>25401</v>
      </c>
      <c r="C63" s="8" t="s">
        <v>153</v>
      </c>
      <c r="D63" s="53"/>
      <c r="E63" s="53"/>
    </row>
    <row r="64" spans="1:6" ht="18" customHeight="1" x14ac:dyDescent="0.25">
      <c r="A64" s="10" t="s">
        <v>154</v>
      </c>
      <c r="B64" s="10">
        <v>25801</v>
      </c>
      <c r="C64" s="8" t="s">
        <v>155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352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156</v>
      </c>
      <c r="D66" s="53"/>
      <c r="E66" s="53"/>
    </row>
    <row r="67" spans="1:9" s="1" customFormat="1" ht="18" customHeight="1" x14ac:dyDescent="0.25">
      <c r="A67" s="10" t="s">
        <v>157</v>
      </c>
      <c r="B67" s="10">
        <v>26201</v>
      </c>
      <c r="C67" s="8" t="s">
        <v>158</v>
      </c>
      <c r="D67" s="53"/>
      <c r="E67" s="53"/>
      <c r="G67"/>
      <c r="H67"/>
      <c r="I67"/>
    </row>
    <row r="68" spans="1:9" s="1" customFormat="1" ht="18" customHeight="1" x14ac:dyDescent="0.25">
      <c r="A68" s="10" t="s">
        <v>159</v>
      </c>
      <c r="B68" s="10">
        <v>26301</v>
      </c>
      <c r="C68" s="8" t="s">
        <v>160</v>
      </c>
      <c r="D68" s="53">
        <v>864161.54</v>
      </c>
      <c r="E68" s="53"/>
      <c r="G68"/>
      <c r="H68"/>
      <c r="I68"/>
    </row>
    <row r="69" spans="1:9" s="1" customFormat="1" ht="18" customHeight="1" x14ac:dyDescent="0.25">
      <c r="A69" s="10" t="s">
        <v>161</v>
      </c>
      <c r="B69" s="10">
        <v>27101</v>
      </c>
      <c r="C69" s="8" t="s">
        <v>162</v>
      </c>
      <c r="D69" s="53"/>
      <c r="E69" s="53"/>
      <c r="G69"/>
      <c r="H69"/>
      <c r="I69"/>
    </row>
    <row r="70" spans="1:9" s="1" customFormat="1" ht="18" customHeight="1" x14ac:dyDescent="0.25">
      <c r="A70" s="10" t="s">
        <v>163</v>
      </c>
      <c r="B70" s="10">
        <v>27102</v>
      </c>
      <c r="C70" s="8" t="s">
        <v>164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165</v>
      </c>
      <c r="D71" s="53"/>
      <c r="E71" s="53"/>
      <c r="G71"/>
      <c r="H71"/>
      <c r="I71"/>
    </row>
    <row r="72" spans="1:9" s="1" customFormat="1" ht="18" customHeight="1" x14ac:dyDescent="0.25">
      <c r="A72" s="10" t="s">
        <v>166</v>
      </c>
      <c r="B72" s="10">
        <v>27106</v>
      </c>
      <c r="C72" s="8" t="s">
        <v>167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168</v>
      </c>
      <c r="D73" s="53"/>
      <c r="E73" s="53"/>
      <c r="G73"/>
      <c r="H73"/>
      <c r="I73"/>
    </row>
    <row r="74" spans="1:9" s="1" customFormat="1" ht="18" customHeight="1" x14ac:dyDescent="0.25">
      <c r="A74" s="10" t="s">
        <v>169</v>
      </c>
      <c r="B74" s="10">
        <v>27201</v>
      </c>
      <c r="C74" s="8" t="s">
        <v>170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171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172</v>
      </c>
      <c r="D76" s="53"/>
      <c r="E76" s="53"/>
      <c r="G76"/>
      <c r="H76"/>
      <c r="I76"/>
    </row>
    <row r="77" spans="1:9" s="1" customFormat="1" ht="18" customHeight="1" x14ac:dyDescent="0.25">
      <c r="A77" s="10" t="s">
        <v>173</v>
      </c>
      <c r="B77" s="10">
        <v>27205</v>
      </c>
      <c r="C77" s="8" t="s">
        <v>174</v>
      </c>
      <c r="D77" s="53"/>
      <c r="E77" s="53"/>
      <c r="G77"/>
      <c r="H77"/>
      <c r="I77"/>
    </row>
    <row r="78" spans="1:9" s="1" customFormat="1" ht="18" customHeight="1" x14ac:dyDescent="0.25">
      <c r="A78" s="10" t="s">
        <v>175</v>
      </c>
      <c r="B78" s="10">
        <v>27206</v>
      </c>
      <c r="C78" s="8" t="s">
        <v>176</v>
      </c>
      <c r="D78" s="53">
        <f>5524+155339.17</f>
        <v>160863.17000000001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177</v>
      </c>
      <c r="D79" s="53"/>
      <c r="E79" s="53"/>
      <c r="G79"/>
      <c r="H79"/>
      <c r="I79"/>
    </row>
    <row r="80" spans="1:9" s="1" customFormat="1" ht="18" customHeight="1" x14ac:dyDescent="0.25">
      <c r="A80" s="10" t="s">
        <v>178</v>
      </c>
      <c r="B80" s="10">
        <v>28201</v>
      </c>
      <c r="C80" s="8" t="s">
        <v>179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180</v>
      </c>
      <c r="D81" s="53"/>
      <c r="E81" s="53"/>
      <c r="G81"/>
      <c r="H81"/>
      <c r="I81"/>
    </row>
    <row r="82" spans="1:9" s="1" customFormat="1" ht="18" customHeight="1" x14ac:dyDescent="0.25">
      <c r="A82" s="10" t="s">
        <v>181</v>
      </c>
      <c r="B82" s="10">
        <v>28401</v>
      </c>
      <c r="C82" s="8" t="s">
        <v>182</v>
      </c>
      <c r="D82" s="53"/>
      <c r="E82" s="53"/>
      <c r="G82"/>
      <c r="H82"/>
      <c r="I82"/>
    </row>
    <row r="83" spans="1:9" s="1" customFormat="1" ht="18" customHeight="1" x14ac:dyDescent="0.25">
      <c r="A83" s="10" t="s">
        <v>183</v>
      </c>
      <c r="B83" s="10">
        <v>28501</v>
      </c>
      <c r="C83" s="8" t="s">
        <v>184</v>
      </c>
      <c r="D83" s="53"/>
      <c r="E83" s="53"/>
      <c r="G83"/>
      <c r="H83"/>
      <c r="I83"/>
    </row>
    <row r="84" spans="1:9" s="1" customFormat="1" ht="18" customHeight="1" x14ac:dyDescent="0.25">
      <c r="A84" s="10" t="s">
        <v>185</v>
      </c>
      <c r="B84" s="10">
        <v>28502</v>
      </c>
      <c r="C84" s="8" t="s">
        <v>186</v>
      </c>
      <c r="D84" s="53"/>
      <c r="E84" s="53"/>
      <c r="G84"/>
      <c r="H84"/>
      <c r="I84"/>
    </row>
    <row r="85" spans="1:9" s="1" customFormat="1" ht="18" customHeight="1" x14ac:dyDescent="0.25">
      <c r="A85" s="10" t="s">
        <v>187</v>
      </c>
      <c r="B85" s="10">
        <v>28503</v>
      </c>
      <c r="C85" s="8" t="s">
        <v>188</v>
      </c>
      <c r="D85" s="53">
        <v>88500</v>
      </c>
      <c r="E85" s="53"/>
      <c r="G85"/>
      <c r="H85"/>
      <c r="I85"/>
    </row>
    <row r="86" spans="1:9" s="1" customFormat="1" ht="18" customHeight="1" x14ac:dyDescent="0.25">
      <c r="A86" s="10" t="s">
        <v>189</v>
      </c>
      <c r="B86" s="10">
        <v>28601</v>
      </c>
      <c r="C86" s="8" t="s">
        <v>190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191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192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193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194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195</v>
      </c>
      <c r="D91" s="53"/>
      <c r="E91" s="53"/>
      <c r="G91"/>
      <c r="H91"/>
      <c r="I91"/>
    </row>
    <row r="92" spans="1:9" s="1" customFormat="1" ht="18" customHeight="1" x14ac:dyDescent="0.25">
      <c r="A92" s="10" t="s">
        <v>196</v>
      </c>
      <c r="B92" s="10">
        <v>28706</v>
      </c>
      <c r="C92" s="8" t="s">
        <v>197</v>
      </c>
      <c r="D92" s="53">
        <v>200</v>
      </c>
      <c r="E92" s="53"/>
      <c r="G92"/>
      <c r="H92"/>
      <c r="I92"/>
    </row>
    <row r="93" spans="1:9" s="1" customFormat="1" ht="18" customHeight="1" x14ac:dyDescent="0.25">
      <c r="A93" s="10" t="s">
        <v>198</v>
      </c>
      <c r="B93" s="10">
        <v>28801</v>
      </c>
      <c r="C93" s="8" t="s">
        <v>199</v>
      </c>
      <c r="D93" s="53">
        <v>7200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373</v>
      </c>
      <c r="D94" s="53">
        <v>14500</v>
      </c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374</v>
      </c>
      <c r="D95" s="53">
        <v>7540.4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375</v>
      </c>
      <c r="D96" s="53">
        <v>26100</v>
      </c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361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201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202</v>
      </c>
      <c r="D99" s="53">
        <f>1572981.3+1718811.6</f>
        <v>3291792.9000000004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362</v>
      </c>
      <c r="D100" s="53">
        <v>162073</v>
      </c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203</v>
      </c>
      <c r="D101" s="57">
        <f>SUM(D102:D176)</f>
        <v>28444685.210000001</v>
      </c>
      <c r="E101" s="57"/>
      <c r="G101"/>
      <c r="H101"/>
      <c r="I101"/>
    </row>
    <row r="102" spans="1:9" s="1" customFormat="1" ht="18" customHeight="1" x14ac:dyDescent="0.25">
      <c r="A102" s="10" t="s">
        <v>204</v>
      </c>
      <c r="B102" s="10">
        <v>31101</v>
      </c>
      <c r="C102" s="8" t="s">
        <v>205</v>
      </c>
      <c r="D102" s="53">
        <v>3301</v>
      </c>
      <c r="E102" s="53"/>
      <c r="G102"/>
      <c r="H102"/>
      <c r="I102"/>
    </row>
    <row r="103" spans="1:9" s="1" customFormat="1" ht="18" customHeight="1" x14ac:dyDescent="0.25">
      <c r="A103" s="10" t="s">
        <v>206</v>
      </c>
      <c r="B103" s="10">
        <v>31303</v>
      </c>
      <c r="C103" s="8" t="s">
        <v>207</v>
      </c>
      <c r="D103" s="53"/>
      <c r="E103" s="53"/>
      <c r="G103"/>
      <c r="H103"/>
      <c r="I103"/>
    </row>
    <row r="104" spans="1:9" s="1" customFormat="1" ht="18" customHeight="1" x14ac:dyDescent="0.25">
      <c r="A104" s="10" t="s">
        <v>208</v>
      </c>
      <c r="B104" s="10">
        <v>31401</v>
      </c>
      <c r="C104" s="8" t="s">
        <v>209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210</v>
      </c>
      <c r="B105" s="10">
        <v>32101</v>
      </c>
      <c r="C105" s="8" t="s">
        <v>211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212</v>
      </c>
      <c r="B106" s="10">
        <v>32201</v>
      </c>
      <c r="C106" s="8" t="s">
        <v>213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214</v>
      </c>
      <c r="B107" s="10">
        <v>32301</v>
      </c>
      <c r="C107" s="8" t="s">
        <v>215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216</v>
      </c>
      <c r="B108" s="10">
        <v>32401</v>
      </c>
      <c r="C108" s="8" t="s">
        <v>217</v>
      </c>
      <c r="D108" s="53">
        <v>8779.2000000000007</v>
      </c>
      <c r="E108" s="53"/>
      <c r="G108"/>
      <c r="H108"/>
      <c r="I108"/>
    </row>
    <row r="109" spans="1:9" s="1" customFormat="1" ht="18" customHeight="1" x14ac:dyDescent="0.25">
      <c r="A109" s="10" t="s">
        <v>218</v>
      </c>
      <c r="B109" s="10">
        <v>33101</v>
      </c>
      <c r="C109" s="8" t="s">
        <v>219</v>
      </c>
      <c r="D109" s="53">
        <v>2975</v>
      </c>
      <c r="E109" s="53"/>
      <c r="G109"/>
      <c r="H109"/>
      <c r="I109"/>
    </row>
    <row r="110" spans="1:9" s="1" customFormat="1" ht="18" customHeight="1" x14ac:dyDescent="0.25">
      <c r="A110" s="10" t="s">
        <v>220</v>
      </c>
      <c r="B110" s="10">
        <v>33201</v>
      </c>
      <c r="C110" s="8" t="s">
        <v>221</v>
      </c>
      <c r="D110" s="53">
        <f>6179.96+272757</f>
        <v>278936.96000000002</v>
      </c>
      <c r="E110" s="53"/>
      <c r="G110"/>
      <c r="H110"/>
      <c r="I110"/>
    </row>
    <row r="111" spans="1:9" s="1" customFormat="1" ht="18" customHeight="1" x14ac:dyDescent="0.25">
      <c r="A111" s="10" t="s">
        <v>222</v>
      </c>
      <c r="B111" s="10">
        <v>33301</v>
      </c>
      <c r="C111" s="8" t="s">
        <v>223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224</v>
      </c>
      <c r="B112" s="10">
        <v>33401</v>
      </c>
      <c r="C112" s="8" t="s">
        <v>225</v>
      </c>
      <c r="D112" s="53">
        <v>35</v>
      </c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227</v>
      </c>
      <c r="D113" s="53">
        <v>22597799.050000001</v>
      </c>
      <c r="E113" s="53"/>
      <c r="G113"/>
      <c r="H113"/>
      <c r="I113"/>
    </row>
    <row r="114" spans="1:9" s="1" customFormat="1" ht="18" customHeight="1" x14ac:dyDescent="0.25">
      <c r="A114" s="10" t="s">
        <v>228</v>
      </c>
      <c r="B114" s="10">
        <v>34101</v>
      </c>
      <c r="C114" s="8" t="s">
        <v>229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230</v>
      </c>
      <c r="B115" s="10">
        <v>35101</v>
      </c>
      <c r="C115" s="8" t="s">
        <v>231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232</v>
      </c>
      <c r="B116" s="10">
        <v>35201</v>
      </c>
      <c r="C116" s="8" t="s">
        <v>233</v>
      </c>
      <c r="D116" s="53"/>
      <c r="E116" s="53"/>
      <c r="G116"/>
      <c r="H116"/>
      <c r="I116"/>
    </row>
    <row r="117" spans="1:9" ht="18" customHeight="1" x14ac:dyDescent="0.25">
      <c r="A117" s="10" t="s">
        <v>234</v>
      </c>
      <c r="B117" s="10">
        <v>35301</v>
      </c>
      <c r="C117" s="8" t="s">
        <v>235</v>
      </c>
      <c r="D117" s="53"/>
      <c r="E117" s="53"/>
    </row>
    <row r="118" spans="1:9" ht="18" customHeight="1" x14ac:dyDescent="0.25">
      <c r="A118" s="10" t="s">
        <v>236</v>
      </c>
      <c r="B118" s="10">
        <v>35401</v>
      </c>
      <c r="C118" s="8" t="s">
        <v>237</v>
      </c>
      <c r="D118" s="53"/>
      <c r="E118" s="53"/>
    </row>
    <row r="119" spans="1:9" ht="18" customHeight="1" x14ac:dyDescent="0.25">
      <c r="A119" s="10" t="s">
        <v>238</v>
      </c>
      <c r="B119" s="10">
        <v>35501</v>
      </c>
      <c r="C119" s="8" t="s">
        <v>239</v>
      </c>
      <c r="D119" s="53">
        <v>144</v>
      </c>
      <c r="E119" s="53"/>
    </row>
    <row r="120" spans="1:9" ht="18" customHeight="1" x14ac:dyDescent="0.25">
      <c r="A120" s="10" t="s">
        <v>240</v>
      </c>
      <c r="B120" s="10">
        <v>36101</v>
      </c>
      <c r="C120" s="8" t="s">
        <v>241</v>
      </c>
      <c r="D120" s="53"/>
      <c r="E120" s="53"/>
    </row>
    <row r="121" spans="1:9" ht="18" customHeight="1" x14ac:dyDescent="0.25">
      <c r="A121" s="10"/>
      <c r="B121" s="10">
        <v>36102</v>
      </c>
      <c r="C121" s="8" t="s">
        <v>242</v>
      </c>
      <c r="D121" s="53"/>
      <c r="E121" s="53"/>
    </row>
    <row r="122" spans="1:9" ht="18" customHeight="1" x14ac:dyDescent="0.25">
      <c r="A122" s="10" t="s">
        <v>243</v>
      </c>
      <c r="B122" s="10">
        <v>36104</v>
      </c>
      <c r="C122" s="8" t="s">
        <v>244</v>
      </c>
      <c r="D122" s="53"/>
      <c r="E122" s="53"/>
    </row>
    <row r="123" spans="1:9" ht="18" customHeight="1" x14ac:dyDescent="0.25">
      <c r="A123" s="10" t="s">
        <v>245</v>
      </c>
      <c r="B123" s="10">
        <v>36201</v>
      </c>
      <c r="C123" s="8" t="s">
        <v>246</v>
      </c>
      <c r="D123" s="53"/>
      <c r="E123" s="53"/>
    </row>
    <row r="124" spans="1:9" ht="18" customHeight="1" x14ac:dyDescent="0.25">
      <c r="A124" s="10" t="s">
        <v>247</v>
      </c>
      <c r="B124" s="10">
        <v>36202</v>
      </c>
      <c r="C124" s="8" t="s">
        <v>248</v>
      </c>
      <c r="D124" s="53"/>
      <c r="E124" s="53"/>
    </row>
    <row r="125" spans="1:9" ht="18" customHeight="1" x14ac:dyDescent="0.25">
      <c r="A125" s="10" t="s">
        <v>249</v>
      </c>
      <c r="B125" s="10">
        <v>36203</v>
      </c>
      <c r="C125" s="8" t="s">
        <v>250</v>
      </c>
      <c r="D125" s="53"/>
      <c r="E125" s="53"/>
    </row>
    <row r="126" spans="1:9" ht="18" customHeight="1" x14ac:dyDescent="0.25">
      <c r="A126" s="10" t="s">
        <v>251</v>
      </c>
      <c r="B126" s="10">
        <v>36301</v>
      </c>
      <c r="C126" s="8" t="s">
        <v>252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248</v>
      </c>
      <c r="D127" s="53"/>
      <c r="E127" s="53"/>
    </row>
    <row r="128" spans="1:9" ht="18" customHeight="1" x14ac:dyDescent="0.25">
      <c r="A128" s="10" t="s">
        <v>253</v>
      </c>
      <c r="B128" s="10">
        <v>36303</v>
      </c>
      <c r="C128" s="8" t="s">
        <v>254</v>
      </c>
      <c r="D128" s="53"/>
      <c r="E128" s="53"/>
    </row>
    <row r="129" spans="1:9" ht="18" customHeight="1" x14ac:dyDescent="0.25">
      <c r="A129" s="10" t="s">
        <v>255</v>
      </c>
      <c r="B129" s="10">
        <v>36304</v>
      </c>
      <c r="C129" s="8" t="s">
        <v>256</v>
      </c>
      <c r="D129" s="53">
        <f>1290.71+28928.88</f>
        <v>30219.59</v>
      </c>
      <c r="E129" s="53"/>
    </row>
    <row r="130" spans="1:9" s="1" customFormat="1" ht="18" customHeight="1" x14ac:dyDescent="0.25">
      <c r="A130" s="10" t="s">
        <v>255</v>
      </c>
      <c r="B130" s="10">
        <v>36306</v>
      </c>
      <c r="C130" s="8" t="s">
        <v>257</v>
      </c>
      <c r="D130" s="53">
        <v>1294.98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258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364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243</v>
      </c>
      <c r="B133" s="51">
        <v>36403</v>
      </c>
      <c r="C133" s="52" t="s">
        <v>259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260</v>
      </c>
      <c r="B134" s="51">
        <v>37101</v>
      </c>
      <c r="C134" s="52" t="s">
        <v>261</v>
      </c>
      <c r="D134" s="53">
        <v>4320000</v>
      </c>
      <c r="E134" s="53"/>
      <c r="G134"/>
      <c r="H134"/>
      <c r="I134"/>
    </row>
    <row r="135" spans="1:9" s="1" customFormat="1" ht="18" customHeight="1" x14ac:dyDescent="0.25">
      <c r="A135" s="10" t="s">
        <v>262</v>
      </c>
      <c r="B135" s="51">
        <v>37102</v>
      </c>
      <c r="C135" s="52" t="s">
        <v>263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264</v>
      </c>
      <c r="B136" s="51">
        <v>37104</v>
      </c>
      <c r="C136" s="52" t="s">
        <v>265</v>
      </c>
      <c r="D136" s="53">
        <v>900</v>
      </c>
      <c r="E136" s="53"/>
      <c r="G136"/>
      <c r="H136"/>
      <c r="I136"/>
    </row>
    <row r="137" spans="1:9" s="1" customFormat="1" ht="18" customHeight="1" x14ac:dyDescent="0.25">
      <c r="A137" s="10" t="s">
        <v>266</v>
      </c>
      <c r="B137" s="51">
        <v>37105</v>
      </c>
      <c r="C137" s="52" t="s">
        <v>267</v>
      </c>
      <c r="D137" s="53">
        <v>4106.3999999999996</v>
      </c>
      <c r="E137" s="53"/>
      <c r="G137"/>
      <c r="H137"/>
      <c r="I137"/>
    </row>
    <row r="138" spans="1:9" s="1" customFormat="1" ht="18" customHeight="1" x14ac:dyDescent="0.25">
      <c r="A138" s="10" t="s">
        <v>268</v>
      </c>
      <c r="B138" s="51">
        <v>37106</v>
      </c>
      <c r="C138" s="52" t="s">
        <v>269</v>
      </c>
      <c r="D138" s="53">
        <v>125697.14</v>
      </c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270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271</v>
      </c>
      <c r="B140" s="10">
        <v>37203</v>
      </c>
      <c r="C140" s="8" t="s">
        <v>272</v>
      </c>
      <c r="D140" s="53">
        <v>12036</v>
      </c>
      <c r="E140" s="53"/>
      <c r="G140"/>
      <c r="H140"/>
      <c r="I140"/>
    </row>
    <row r="141" spans="1:9" s="1" customFormat="1" ht="18" customHeight="1" x14ac:dyDescent="0.25">
      <c r="A141" s="10" t="s">
        <v>273</v>
      </c>
      <c r="B141" s="10">
        <v>37205</v>
      </c>
      <c r="C141" s="8" t="s">
        <v>274</v>
      </c>
      <c r="D141" s="53"/>
      <c r="E141" s="53"/>
      <c r="G141"/>
      <c r="H141"/>
      <c r="I141"/>
    </row>
    <row r="142" spans="1:9" s="1" customFormat="1" ht="18" customHeight="1" x14ac:dyDescent="0.25">
      <c r="A142" s="10" t="s">
        <v>275</v>
      </c>
      <c r="B142" s="10">
        <v>37206</v>
      </c>
      <c r="C142" s="8" t="s">
        <v>276</v>
      </c>
      <c r="D142" s="53">
        <v>118177</v>
      </c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277</v>
      </c>
      <c r="D143" s="53">
        <v>168</v>
      </c>
      <c r="E143" s="53"/>
      <c r="G143"/>
      <c r="H143"/>
      <c r="I143"/>
    </row>
    <row r="144" spans="1:9" s="1" customFormat="1" ht="18" customHeight="1" x14ac:dyDescent="0.25">
      <c r="A144" s="10" t="s">
        <v>278</v>
      </c>
      <c r="B144" s="51">
        <v>39101</v>
      </c>
      <c r="C144" s="52" t="s">
        <v>279</v>
      </c>
      <c r="D144" s="53">
        <f>247.95+135641</f>
        <v>135888.95000000001</v>
      </c>
      <c r="E144" s="53"/>
      <c r="G144"/>
      <c r="H144"/>
      <c r="I144"/>
    </row>
    <row r="145" spans="1:9" s="1" customFormat="1" ht="18" customHeight="1" x14ac:dyDescent="0.25">
      <c r="A145" s="10" t="s">
        <v>280</v>
      </c>
      <c r="B145" s="51">
        <v>39201</v>
      </c>
      <c r="C145" s="52" t="s">
        <v>281</v>
      </c>
      <c r="D145" s="53">
        <v>3740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282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283</v>
      </c>
      <c r="B147" s="51">
        <v>39501</v>
      </c>
      <c r="C147" s="52" t="s">
        <v>284</v>
      </c>
      <c r="D147" s="53">
        <v>1681.5</v>
      </c>
      <c r="E147" s="53"/>
      <c r="G147"/>
      <c r="H147"/>
      <c r="I147"/>
    </row>
    <row r="148" spans="1:9" s="1" customFormat="1" ht="18" customHeight="1" x14ac:dyDescent="0.25">
      <c r="A148" s="10" t="s">
        <v>285</v>
      </c>
      <c r="B148" s="10">
        <v>39601</v>
      </c>
      <c r="C148" s="8" t="s">
        <v>286</v>
      </c>
      <c r="D148" s="53">
        <f>125+672541</f>
        <v>672666</v>
      </c>
      <c r="E148" s="53"/>
      <c r="G148"/>
      <c r="H148"/>
      <c r="I148"/>
    </row>
    <row r="149" spans="1:9" s="1" customFormat="1" ht="18" customHeight="1" x14ac:dyDescent="0.25">
      <c r="A149" s="10" t="s">
        <v>287</v>
      </c>
      <c r="B149" s="10">
        <v>39801</v>
      </c>
      <c r="C149" s="8" t="s">
        <v>288</v>
      </c>
      <c r="D149" s="53">
        <v>32334.36</v>
      </c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353</v>
      </c>
      <c r="D150" s="53">
        <v>24544</v>
      </c>
      <c r="E150" s="53"/>
      <c r="G150"/>
      <c r="H150"/>
      <c r="I150"/>
    </row>
    <row r="151" spans="1:9" s="1" customFormat="1" ht="18" customHeight="1" x14ac:dyDescent="0.25">
      <c r="A151" s="10" t="s">
        <v>289</v>
      </c>
      <c r="B151" s="10">
        <v>39901</v>
      </c>
      <c r="C151" s="8" t="s">
        <v>290</v>
      </c>
      <c r="D151" s="53">
        <f>3223.56+12980</f>
        <v>16203.56</v>
      </c>
      <c r="E151" s="53"/>
      <c r="G151"/>
      <c r="H151"/>
      <c r="I151"/>
    </row>
    <row r="152" spans="1:9" s="1" customFormat="1" ht="18" customHeight="1" x14ac:dyDescent="0.25">
      <c r="A152" s="10" t="s">
        <v>289</v>
      </c>
      <c r="B152" s="10">
        <v>39902</v>
      </c>
      <c r="C152" s="8" t="s">
        <v>291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292</v>
      </c>
      <c r="D153" s="53">
        <v>47577.599999999999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293</v>
      </c>
      <c r="D154" s="53">
        <v>5479.92</v>
      </c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294</v>
      </c>
      <c r="D155" s="57"/>
      <c r="E155" s="57"/>
      <c r="G155"/>
      <c r="H155"/>
      <c r="I155"/>
    </row>
    <row r="156" spans="1:9" s="1" customFormat="1" ht="18" customHeight="1" x14ac:dyDescent="0.25">
      <c r="A156" s="10" t="s">
        <v>295</v>
      </c>
      <c r="B156" s="10">
        <v>41103</v>
      </c>
      <c r="C156" s="8" t="s">
        <v>296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297</v>
      </c>
      <c r="B157" s="10">
        <v>41201</v>
      </c>
      <c r="C157" s="8" t="s">
        <v>298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299</v>
      </c>
      <c r="B158" s="10">
        <v>41202</v>
      </c>
      <c r="C158" s="8" t="s">
        <v>300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301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302</v>
      </c>
      <c r="B160" s="10">
        <v>41402</v>
      </c>
      <c r="C160" s="8" t="s">
        <v>303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304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305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306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307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308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309</v>
      </c>
      <c r="B166" s="10">
        <v>44102</v>
      </c>
      <c r="C166" s="8" t="s">
        <v>310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311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358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77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314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77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315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316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42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315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317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318</v>
      </c>
      <c r="C177" s="98"/>
      <c r="D177" s="62">
        <f>+E15-E16</f>
        <v>766802852.85000002</v>
      </c>
      <c r="E177" s="62">
        <f>+E15-E16</f>
        <v>766802852.85000002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319</v>
      </c>
      <c r="B185" s="23">
        <v>6</v>
      </c>
      <c r="C185" s="5" t="s">
        <v>320</v>
      </c>
      <c r="D185" s="12">
        <f>SUM(D186:D208)</f>
        <v>9625145.4000000004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321</v>
      </c>
      <c r="D186" s="53"/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322</v>
      </c>
      <c r="D187" s="53">
        <v>4464631.4000000004</v>
      </c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323</v>
      </c>
      <c r="D188" s="53"/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324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325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326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327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328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329</v>
      </c>
      <c r="D194" s="53">
        <v>4076034</v>
      </c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330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331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332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333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334</v>
      </c>
      <c r="D199" s="53">
        <v>1039994</v>
      </c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335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336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337</v>
      </c>
      <c r="D202" s="53">
        <v>44486</v>
      </c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338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339</v>
      </c>
      <c r="D204" s="53"/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340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341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342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359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343</v>
      </c>
      <c r="D209" s="57"/>
      <c r="E209" s="25"/>
      <c r="G209"/>
      <c r="H209"/>
      <c r="I209"/>
    </row>
    <row r="210" spans="1:9" s="1" customFormat="1" x14ac:dyDescent="0.25">
      <c r="A210" s="27" t="s">
        <v>344</v>
      </c>
      <c r="B210" s="10">
        <v>71201</v>
      </c>
      <c r="C210" s="8" t="s">
        <v>345</v>
      </c>
      <c r="D210" s="24"/>
      <c r="E210" s="25"/>
      <c r="G210"/>
      <c r="H210"/>
      <c r="I210"/>
    </row>
    <row r="211" spans="1:9" s="1" customFormat="1" x14ac:dyDescent="0.25">
      <c r="A211" s="27" t="s">
        <v>346</v>
      </c>
      <c r="B211" s="10">
        <v>71501</v>
      </c>
      <c r="C211" s="8" t="s">
        <v>347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9625145.4000000004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376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377</v>
      </c>
      <c r="E218" s="21"/>
      <c r="G218"/>
      <c r="H218"/>
      <c r="I218"/>
    </row>
    <row r="219" spans="1:9" s="1" customFormat="1" x14ac:dyDescent="0.25">
      <c r="A219"/>
      <c r="B219"/>
      <c r="C219" s="2" t="s">
        <v>349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workbookViewId="0">
      <selection activeCell="AA19" sqref="AA1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384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379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89" t="s">
        <v>12</v>
      </c>
    </row>
    <row r="9" spans="1:27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22</v>
      </c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9">
        <v>939671500.37</v>
      </c>
    </row>
    <row r="12" spans="1:27" x14ac:dyDescent="0.25">
      <c r="A12" t="s">
        <v>385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9">
        <v>179792705.12</v>
      </c>
    </row>
    <row r="13" spans="1:27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9">
        <v>21045928.399999999</v>
      </c>
    </row>
    <row r="14" spans="1:27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81">
        <f>SUM(Z11:Z14)</f>
        <v>1140510133.8900001</v>
      </c>
    </row>
    <row r="16" spans="1:27" x14ac:dyDescent="0.25">
      <c r="Z16" s="61"/>
    </row>
    <row r="17" spans="1:27" x14ac:dyDescent="0.25">
      <c r="A17" s="90" t="s">
        <v>28</v>
      </c>
      <c r="Z17" s="61"/>
    </row>
    <row r="18" spans="1:27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513551902.69999999</v>
      </c>
      <c r="AA18" s="39"/>
    </row>
    <row r="19" spans="1:27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64819607.780000001</v>
      </c>
    </row>
    <row r="20" spans="1:27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-171202064.24000001</v>
      </c>
    </row>
    <row r="21" spans="1:27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44395313.43</v>
      </c>
    </row>
    <row r="22" spans="1:27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451564759.67000002</v>
      </c>
    </row>
    <row r="23" spans="1:27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1592074893.5600002</v>
      </c>
    </row>
    <row r="24" spans="1:27" ht="15.75" thickTop="1" x14ac:dyDescent="0.25"/>
    <row r="25" spans="1:27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22</v>
      </c>
    </row>
    <row r="27" spans="1:27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7000</v>
      </c>
    </row>
    <row r="28" spans="1:27" x14ac:dyDescent="0.25">
      <c r="A28" t="s">
        <v>37</v>
      </c>
      <c r="Z28" s="60">
        <v>5846295.0499999998</v>
      </c>
    </row>
    <row r="29" spans="1:27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/>
    </row>
    <row r="30" spans="1:27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5853295.0499999998</v>
      </c>
    </row>
    <row r="32" spans="1:27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5853295.0499999998</v>
      </c>
      <c r="AD33" s="37"/>
      <c r="AE33" s="1"/>
    </row>
    <row r="35" spans="1:31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</f>
        <v>257171183.29999995</v>
      </c>
      <c r="AD39" s="37"/>
    </row>
    <row r="40" spans="1:31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1586221598.5099998</v>
      </c>
      <c r="AE40" s="37"/>
    </row>
    <row r="41" spans="1:31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Y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>+Z33+Z40</f>
        <v>1592074893.5599997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380</v>
      </c>
      <c r="G45" s="1">
        <f>+G41-G23</f>
        <v>0</v>
      </c>
    </row>
    <row r="46" spans="1:31" x14ac:dyDescent="0.25">
      <c r="A46" s="92" t="s">
        <v>381</v>
      </c>
    </row>
    <row r="47" spans="1:31" x14ac:dyDescent="0.25">
      <c r="A47" t="s">
        <v>52</v>
      </c>
    </row>
    <row r="48" spans="1:31" x14ac:dyDescent="0.25">
      <c r="A48" s="91" t="s">
        <v>53</v>
      </c>
    </row>
    <row r="49" spans="1:1" x14ac:dyDescent="0.25">
      <c r="A49" s="92" t="s">
        <v>54</v>
      </c>
    </row>
    <row r="260" spans="27:27" x14ac:dyDescent="0.25">
      <c r="AA260" t="s">
        <v>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selection activeCell="C23" sqref="C23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386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/>
      <c r="E9" s="71"/>
    </row>
    <row r="10" spans="1:7" x14ac:dyDescent="0.25">
      <c r="A10" s="10" t="s">
        <v>64</v>
      </c>
      <c r="B10" s="7" t="s">
        <v>65</v>
      </c>
      <c r="C10" s="8" t="s">
        <v>383</v>
      </c>
      <c r="D10" s="82">
        <v>165595595.05000001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662598527.30999994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0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93">
        <v>1020492.76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4" t="s">
        <v>77</v>
      </c>
      <c r="D15" s="9"/>
      <c r="E15" s="85">
        <f>SUM(D10:D14)</f>
        <v>829214615.11999989</v>
      </c>
    </row>
    <row r="16" spans="1:7" x14ac:dyDescent="0.25">
      <c r="A16" s="51"/>
      <c r="B16" s="51"/>
      <c r="C16" s="83" t="s">
        <v>78</v>
      </c>
      <c r="D16" s="64">
        <f>+D17+D43+D101+D155+D185</f>
        <v>141368881.11000001</v>
      </c>
      <c r="E16" s="64">
        <f>+D16</f>
        <v>141368881.11000001</v>
      </c>
    </row>
    <row r="17" spans="1:9" x14ac:dyDescent="0.25">
      <c r="A17" s="51"/>
      <c r="B17" s="69">
        <v>1</v>
      </c>
      <c r="C17" s="63" t="s">
        <v>79</v>
      </c>
      <c r="D17" s="57">
        <f>SUM(D18:D42)</f>
        <v>35407569.469999999</v>
      </c>
      <c r="E17" s="57" t="s">
        <v>3</v>
      </c>
    </row>
    <row r="18" spans="1:9" ht="18" customHeight="1" x14ac:dyDescent="0.25">
      <c r="A18" s="51" t="s">
        <v>80</v>
      </c>
      <c r="B18" s="51">
        <v>11101</v>
      </c>
      <c r="C18" s="52" t="s">
        <v>81</v>
      </c>
      <c r="D18" s="53">
        <f>1300000+19934569.53</f>
        <v>21234569.530000001</v>
      </c>
      <c r="E18" s="53"/>
    </row>
    <row r="19" spans="1:9" ht="18" customHeight="1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ht="18" customHeight="1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ht="18" customHeight="1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18" customHeight="1" x14ac:dyDescent="0.25">
      <c r="A22" s="10" t="s">
        <v>88</v>
      </c>
      <c r="B22" s="10">
        <v>11205</v>
      </c>
      <c r="C22" s="8" t="s">
        <v>89</v>
      </c>
      <c r="D22" s="65"/>
      <c r="E22" s="9"/>
    </row>
    <row r="23" spans="1:9" ht="18" customHeight="1" x14ac:dyDescent="0.25">
      <c r="A23" s="10"/>
      <c r="B23" s="10">
        <v>11208</v>
      </c>
      <c r="C23" s="8" t="s">
        <v>90</v>
      </c>
      <c r="D23" s="65">
        <v>7419000</v>
      </c>
      <c r="E23" s="9"/>
    </row>
    <row r="24" spans="1:9" ht="18" customHeight="1" x14ac:dyDescent="0.25">
      <c r="A24" s="10"/>
      <c r="B24" s="10">
        <v>11210</v>
      </c>
      <c r="C24" s="8" t="s">
        <v>91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92</v>
      </c>
      <c r="D25" s="53">
        <v>177000</v>
      </c>
      <c r="E25" s="53"/>
    </row>
    <row r="26" spans="1:9" ht="18" customHeight="1" x14ac:dyDescent="0.25">
      <c r="A26" s="10" t="s">
        <v>93</v>
      </c>
      <c r="B26" s="10">
        <v>11401</v>
      </c>
      <c r="C26" s="8" t="s">
        <v>370</v>
      </c>
      <c r="D26" s="53"/>
      <c r="E26" s="53"/>
    </row>
    <row r="27" spans="1:9" ht="18" customHeight="1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97</v>
      </c>
      <c r="D28" s="53">
        <v>681900</v>
      </c>
      <c r="E28" s="53"/>
    </row>
    <row r="29" spans="1:9" ht="18" customHeight="1" x14ac:dyDescent="0.25">
      <c r="A29" s="10"/>
      <c r="B29" s="10">
        <v>11504</v>
      </c>
      <c r="C29" s="8" t="s">
        <v>98</v>
      </c>
      <c r="D29" s="53">
        <v>45685.279999999999</v>
      </c>
      <c r="E29" s="53"/>
    </row>
    <row r="30" spans="1:9" ht="18" customHeight="1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100</v>
      </c>
      <c r="D31" s="53"/>
      <c r="E31" s="53"/>
    </row>
    <row r="32" spans="1:9" ht="18" customHeight="1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6" ht="18" customHeight="1" x14ac:dyDescent="0.25">
      <c r="A33" s="10" t="s">
        <v>103</v>
      </c>
      <c r="B33" s="10">
        <v>12205</v>
      </c>
      <c r="C33" s="8" t="s">
        <v>104</v>
      </c>
      <c r="D33" s="53">
        <v>1480000</v>
      </c>
      <c r="E33" s="53"/>
    </row>
    <row r="34" spans="1:6" ht="18" customHeight="1" x14ac:dyDescent="0.25">
      <c r="A34" s="10" t="s">
        <v>105</v>
      </c>
      <c r="B34" s="10">
        <v>12206</v>
      </c>
      <c r="C34" s="8" t="s">
        <v>106</v>
      </c>
      <c r="D34" s="53"/>
      <c r="E34" s="53"/>
    </row>
    <row r="35" spans="1:6" ht="18" customHeight="1" x14ac:dyDescent="0.25">
      <c r="A35" s="10" t="s">
        <v>107</v>
      </c>
      <c r="B35" s="10">
        <v>12209</v>
      </c>
      <c r="C35" s="8" t="s">
        <v>108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109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100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110</v>
      </c>
      <c r="D38" s="53"/>
      <c r="E38" s="53"/>
    </row>
    <row r="39" spans="1:6" ht="18" customHeight="1" x14ac:dyDescent="0.25">
      <c r="A39" s="10" t="s">
        <v>111</v>
      </c>
      <c r="B39" s="10">
        <v>13101</v>
      </c>
      <c r="C39" s="8" t="s">
        <v>112</v>
      </c>
      <c r="D39" s="53"/>
      <c r="E39" s="53"/>
    </row>
    <row r="40" spans="1:6" ht="18" customHeight="1" x14ac:dyDescent="0.25">
      <c r="A40" s="10" t="s">
        <v>113</v>
      </c>
      <c r="B40" s="10">
        <v>15101</v>
      </c>
      <c r="C40" s="8" t="s">
        <v>114</v>
      </c>
      <c r="D40" s="54">
        <f>92170+1944658.99</f>
        <v>2036828.99</v>
      </c>
      <c r="E40" s="53"/>
    </row>
    <row r="41" spans="1:6" ht="18" customHeight="1" x14ac:dyDescent="0.25">
      <c r="A41" s="10" t="s">
        <v>115</v>
      </c>
      <c r="B41" s="10">
        <v>15201</v>
      </c>
      <c r="C41" s="8" t="s">
        <v>116</v>
      </c>
      <c r="D41" s="53">
        <f>92300+1954670.45</f>
        <v>2046970.45</v>
      </c>
      <c r="E41" s="53"/>
    </row>
    <row r="42" spans="1:6" ht="18" customHeight="1" x14ac:dyDescent="0.25">
      <c r="A42" s="10"/>
      <c r="B42" s="10">
        <v>15301</v>
      </c>
      <c r="C42" s="8" t="s">
        <v>117</v>
      </c>
      <c r="D42" s="53">
        <f>14300+271315.22</f>
        <v>285615.21999999997</v>
      </c>
      <c r="E42" s="53"/>
    </row>
    <row r="43" spans="1:6" ht="18" customHeight="1" x14ac:dyDescent="0.25">
      <c r="A43" s="51"/>
      <c r="B43" s="69">
        <v>2</v>
      </c>
      <c r="C43" s="63" t="s">
        <v>118</v>
      </c>
      <c r="D43" s="57">
        <f>SUM(D44:D100)</f>
        <v>34159499.969999999</v>
      </c>
      <c r="E43" s="57"/>
    </row>
    <row r="44" spans="1:6" ht="18" customHeight="1" x14ac:dyDescent="0.25">
      <c r="A44" s="10" t="s">
        <v>119</v>
      </c>
      <c r="B44" s="10">
        <v>21201</v>
      </c>
      <c r="C44" s="8" t="s">
        <v>120</v>
      </c>
      <c r="D44" s="54">
        <v>31240.47</v>
      </c>
      <c r="E44" s="53"/>
    </row>
    <row r="45" spans="1:6" ht="18" customHeight="1" x14ac:dyDescent="0.25">
      <c r="A45" s="10" t="s">
        <v>121</v>
      </c>
      <c r="B45" s="10">
        <v>21301</v>
      </c>
      <c r="C45" s="8" t="s">
        <v>122</v>
      </c>
      <c r="D45" s="53">
        <v>62242.400000000001</v>
      </c>
      <c r="E45" s="53"/>
    </row>
    <row r="46" spans="1:6" ht="18" customHeight="1" x14ac:dyDescent="0.25">
      <c r="A46" s="10" t="s">
        <v>123</v>
      </c>
      <c r="B46" s="10">
        <v>21401</v>
      </c>
      <c r="C46" s="8" t="s">
        <v>124</v>
      </c>
      <c r="D46" s="53">
        <v>2600</v>
      </c>
      <c r="E46" s="53"/>
    </row>
    <row r="47" spans="1:6" ht="18" customHeight="1" x14ac:dyDescent="0.25">
      <c r="A47" s="10" t="s">
        <v>125</v>
      </c>
      <c r="B47" s="10">
        <v>21501</v>
      </c>
      <c r="C47" s="8" t="s">
        <v>126</v>
      </c>
      <c r="D47" s="53">
        <v>1303322.95</v>
      </c>
      <c r="E47" s="53"/>
      <c r="F47"/>
    </row>
    <row r="48" spans="1:6" ht="18" customHeight="1" x14ac:dyDescent="0.25">
      <c r="A48" s="10" t="s">
        <v>127</v>
      </c>
      <c r="B48" s="10">
        <v>21601</v>
      </c>
      <c r="C48" s="8" t="s">
        <v>128</v>
      </c>
      <c r="D48" s="53">
        <v>591638.86</v>
      </c>
      <c r="E48" s="53"/>
      <c r="F48"/>
    </row>
    <row r="49" spans="1:6" ht="18" customHeight="1" x14ac:dyDescent="0.25">
      <c r="A49" s="10" t="s">
        <v>129</v>
      </c>
      <c r="B49" s="10">
        <v>21701</v>
      </c>
      <c r="C49" s="8" t="s">
        <v>130</v>
      </c>
      <c r="D49" s="53">
        <f>7281.29+7530</f>
        <v>14811.29</v>
      </c>
      <c r="E49" s="53"/>
      <c r="F49"/>
    </row>
    <row r="50" spans="1:6" ht="18" customHeight="1" x14ac:dyDescent="0.25">
      <c r="A50" s="10" t="s">
        <v>131</v>
      </c>
      <c r="B50" s="10">
        <v>21801</v>
      </c>
      <c r="C50" s="8" t="s">
        <v>132</v>
      </c>
      <c r="D50" s="53">
        <f>5987+2600</f>
        <v>8587</v>
      </c>
      <c r="E50" s="53"/>
      <c r="F50"/>
    </row>
    <row r="51" spans="1:6" ht="18" customHeight="1" x14ac:dyDescent="0.25">
      <c r="A51" s="10" t="s">
        <v>133</v>
      </c>
      <c r="B51" s="10">
        <v>22101</v>
      </c>
      <c r="C51" s="8" t="s">
        <v>134</v>
      </c>
      <c r="D51" s="53">
        <v>201164.04</v>
      </c>
      <c r="E51" s="53"/>
      <c r="F51"/>
    </row>
    <row r="52" spans="1:6" ht="18" customHeight="1" x14ac:dyDescent="0.25">
      <c r="A52" s="10"/>
      <c r="B52" s="10">
        <v>22103</v>
      </c>
      <c r="C52" s="8" t="s">
        <v>371</v>
      </c>
      <c r="D52" s="53">
        <v>242054.68</v>
      </c>
      <c r="E52" s="53"/>
      <c r="F52"/>
    </row>
    <row r="53" spans="1:6" ht="18" customHeight="1" x14ac:dyDescent="0.25">
      <c r="A53" s="10" t="s">
        <v>135</v>
      </c>
      <c r="B53" s="10">
        <v>22201</v>
      </c>
      <c r="C53" s="8" t="s">
        <v>136</v>
      </c>
      <c r="D53" s="53"/>
      <c r="E53" s="53"/>
      <c r="F53"/>
    </row>
    <row r="54" spans="1:6" ht="18" customHeight="1" x14ac:dyDescent="0.25">
      <c r="A54" s="10" t="s">
        <v>137</v>
      </c>
      <c r="B54" s="10">
        <v>23101</v>
      </c>
      <c r="C54" s="8" t="s">
        <v>138</v>
      </c>
      <c r="D54" s="53">
        <f>113500+287950</f>
        <v>401450</v>
      </c>
      <c r="E54" s="53"/>
      <c r="F54"/>
    </row>
    <row r="55" spans="1:6" ht="18" customHeight="1" x14ac:dyDescent="0.25">
      <c r="A55" s="10" t="s">
        <v>139</v>
      </c>
      <c r="B55" s="10">
        <v>23201</v>
      </c>
      <c r="C55" s="8" t="s">
        <v>140</v>
      </c>
      <c r="D55" s="53"/>
      <c r="E55" s="53"/>
      <c r="F55"/>
    </row>
    <row r="56" spans="1:6" ht="18" customHeight="1" x14ac:dyDescent="0.25">
      <c r="A56" s="10" t="s">
        <v>141</v>
      </c>
      <c r="B56" s="10">
        <v>24101</v>
      </c>
      <c r="C56" s="8" t="s">
        <v>372</v>
      </c>
      <c r="D56" s="53"/>
      <c r="E56" s="53"/>
      <c r="F56"/>
    </row>
    <row r="57" spans="1:6" ht="18" customHeight="1" x14ac:dyDescent="0.25">
      <c r="A57" s="10" t="s">
        <v>143</v>
      </c>
      <c r="B57" s="10">
        <v>24201</v>
      </c>
      <c r="C57" s="8" t="s">
        <v>144</v>
      </c>
      <c r="D57" s="53"/>
      <c r="E57" s="53"/>
      <c r="F57"/>
    </row>
    <row r="58" spans="1:6" ht="18" customHeight="1" x14ac:dyDescent="0.25">
      <c r="A58" s="10" t="s">
        <v>145</v>
      </c>
      <c r="B58" s="10">
        <v>24401</v>
      </c>
      <c r="C58" s="8" t="s">
        <v>146</v>
      </c>
      <c r="D58" s="53">
        <v>105560</v>
      </c>
      <c r="E58" s="53"/>
      <c r="F58"/>
    </row>
    <row r="59" spans="1:6" ht="18" customHeight="1" x14ac:dyDescent="0.25">
      <c r="A59" s="10" t="s">
        <v>147</v>
      </c>
      <c r="B59" s="10">
        <v>25101</v>
      </c>
      <c r="C59" s="8" t="s">
        <v>148</v>
      </c>
      <c r="D59" s="53">
        <v>576196.48</v>
      </c>
      <c r="E59" s="53"/>
      <c r="F59"/>
    </row>
    <row r="60" spans="1:6" ht="18" customHeight="1" x14ac:dyDescent="0.25">
      <c r="A60" s="10"/>
      <c r="B60" s="10">
        <v>25302</v>
      </c>
      <c r="C60" s="8" t="s">
        <v>149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150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151</v>
      </c>
      <c r="D62" s="53"/>
      <c r="E62" s="53"/>
    </row>
    <row r="63" spans="1:6" ht="18" customHeight="1" x14ac:dyDescent="0.25">
      <c r="A63" s="10" t="s">
        <v>152</v>
      </c>
      <c r="B63" s="10">
        <v>25401</v>
      </c>
      <c r="C63" s="8" t="s">
        <v>153</v>
      </c>
      <c r="D63" s="53">
        <v>224000</v>
      </c>
      <c r="E63" s="53"/>
    </row>
    <row r="64" spans="1:6" ht="18" customHeight="1" x14ac:dyDescent="0.25">
      <c r="A64" s="10" t="s">
        <v>154</v>
      </c>
      <c r="B64" s="10">
        <v>25801</v>
      </c>
      <c r="C64" s="8" t="s">
        <v>155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352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156</v>
      </c>
      <c r="D66" s="53"/>
      <c r="E66" s="53"/>
    </row>
    <row r="67" spans="1:9" s="1" customFormat="1" ht="18" customHeight="1" x14ac:dyDescent="0.25">
      <c r="A67" s="10" t="s">
        <v>157</v>
      </c>
      <c r="B67" s="10">
        <v>26201</v>
      </c>
      <c r="C67" s="8" t="s">
        <v>158</v>
      </c>
      <c r="D67" s="53">
        <v>2110856.91</v>
      </c>
      <c r="E67" s="53"/>
      <c r="G67"/>
      <c r="H67"/>
      <c r="I67"/>
    </row>
    <row r="68" spans="1:9" s="1" customFormat="1" ht="18" customHeight="1" x14ac:dyDescent="0.25">
      <c r="A68" s="10" t="s">
        <v>159</v>
      </c>
      <c r="B68" s="10">
        <v>26301</v>
      </c>
      <c r="C68" s="8" t="s">
        <v>160</v>
      </c>
      <c r="D68" s="53">
        <v>1099110.5</v>
      </c>
      <c r="E68" s="53"/>
      <c r="G68"/>
      <c r="H68"/>
      <c r="I68"/>
    </row>
    <row r="69" spans="1:9" s="1" customFormat="1" ht="18" customHeight="1" x14ac:dyDescent="0.25">
      <c r="A69" s="10" t="s">
        <v>161</v>
      </c>
      <c r="B69" s="10">
        <v>27101</v>
      </c>
      <c r="C69" s="8" t="s">
        <v>162</v>
      </c>
      <c r="D69" s="53"/>
      <c r="E69" s="53"/>
      <c r="G69"/>
      <c r="H69"/>
      <c r="I69"/>
    </row>
    <row r="70" spans="1:9" s="1" customFormat="1" ht="18" customHeight="1" x14ac:dyDescent="0.25">
      <c r="A70" s="10" t="s">
        <v>163</v>
      </c>
      <c r="B70" s="10">
        <v>27102</v>
      </c>
      <c r="C70" s="8" t="s">
        <v>164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165</v>
      </c>
      <c r="D71" s="53"/>
      <c r="E71" s="53"/>
      <c r="G71"/>
      <c r="H71"/>
      <c r="I71"/>
    </row>
    <row r="72" spans="1:9" s="1" customFormat="1" ht="18" customHeight="1" x14ac:dyDescent="0.25">
      <c r="A72" s="10" t="s">
        <v>166</v>
      </c>
      <c r="B72" s="10">
        <v>27106</v>
      </c>
      <c r="C72" s="8" t="s">
        <v>167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168</v>
      </c>
      <c r="D73" s="53"/>
      <c r="E73" s="53"/>
      <c r="G73"/>
      <c r="H73"/>
      <c r="I73"/>
    </row>
    <row r="74" spans="1:9" s="1" customFormat="1" ht="18" customHeight="1" x14ac:dyDescent="0.25">
      <c r="A74" s="10" t="s">
        <v>169</v>
      </c>
      <c r="B74" s="10">
        <v>27201</v>
      </c>
      <c r="C74" s="8" t="s">
        <v>170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171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172</v>
      </c>
      <c r="D76" s="53"/>
      <c r="E76" s="53"/>
      <c r="G76"/>
      <c r="H76"/>
      <c r="I76"/>
    </row>
    <row r="77" spans="1:9" s="1" customFormat="1" ht="18" customHeight="1" x14ac:dyDescent="0.25">
      <c r="A77" s="10" t="s">
        <v>173</v>
      </c>
      <c r="B77" s="10">
        <v>27205</v>
      </c>
      <c r="C77" s="8" t="s">
        <v>174</v>
      </c>
      <c r="D77" s="53"/>
      <c r="E77" s="53"/>
      <c r="G77"/>
      <c r="H77"/>
      <c r="I77"/>
    </row>
    <row r="78" spans="1:9" s="1" customFormat="1" ht="18" customHeight="1" x14ac:dyDescent="0.25">
      <c r="A78" s="10" t="s">
        <v>175</v>
      </c>
      <c r="B78" s="10">
        <v>27206</v>
      </c>
      <c r="C78" s="8" t="s">
        <v>176</v>
      </c>
      <c r="D78" s="53">
        <v>98063.74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177</v>
      </c>
      <c r="D79" s="53"/>
      <c r="E79" s="53"/>
      <c r="G79"/>
      <c r="H79"/>
      <c r="I79"/>
    </row>
    <row r="80" spans="1:9" s="1" customFormat="1" ht="18" customHeight="1" x14ac:dyDescent="0.25">
      <c r="A80" s="10" t="s">
        <v>178</v>
      </c>
      <c r="B80" s="10">
        <v>28201</v>
      </c>
      <c r="C80" s="8" t="s">
        <v>179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180</v>
      </c>
      <c r="D81" s="53">
        <v>177450</v>
      </c>
      <c r="E81" s="53"/>
      <c r="G81"/>
      <c r="H81"/>
      <c r="I81"/>
    </row>
    <row r="82" spans="1:9" s="1" customFormat="1" ht="18" customHeight="1" x14ac:dyDescent="0.25">
      <c r="A82" s="10" t="s">
        <v>181</v>
      </c>
      <c r="B82" s="10">
        <v>28401</v>
      </c>
      <c r="C82" s="8" t="s">
        <v>182</v>
      </c>
      <c r="D82" s="53"/>
      <c r="E82" s="53"/>
      <c r="G82"/>
      <c r="H82"/>
      <c r="I82"/>
    </row>
    <row r="83" spans="1:9" s="1" customFormat="1" ht="18" customHeight="1" x14ac:dyDescent="0.25">
      <c r="A83" s="10" t="s">
        <v>183</v>
      </c>
      <c r="B83" s="10">
        <v>28501</v>
      </c>
      <c r="C83" s="8" t="s">
        <v>184</v>
      </c>
      <c r="D83" s="53">
        <v>127440</v>
      </c>
      <c r="E83" s="53"/>
      <c r="G83"/>
      <c r="H83"/>
      <c r="I83"/>
    </row>
    <row r="84" spans="1:9" s="1" customFormat="1" ht="18" customHeight="1" x14ac:dyDescent="0.25">
      <c r="A84" s="10" t="s">
        <v>185</v>
      </c>
      <c r="B84" s="10">
        <v>28502</v>
      </c>
      <c r="C84" s="8" t="s">
        <v>186</v>
      </c>
      <c r="D84" s="53"/>
      <c r="E84" s="53"/>
      <c r="G84"/>
      <c r="H84"/>
      <c r="I84"/>
    </row>
    <row r="85" spans="1:9" s="1" customFormat="1" ht="18" customHeight="1" x14ac:dyDescent="0.25">
      <c r="A85" s="10" t="s">
        <v>187</v>
      </c>
      <c r="B85" s="10">
        <v>28503</v>
      </c>
      <c r="C85" s="8" t="s">
        <v>188</v>
      </c>
      <c r="D85" s="53"/>
      <c r="E85" s="53"/>
      <c r="G85"/>
      <c r="H85"/>
      <c r="I85"/>
    </row>
    <row r="86" spans="1:9" s="1" customFormat="1" ht="18" customHeight="1" x14ac:dyDescent="0.25">
      <c r="A86" s="10" t="s">
        <v>189</v>
      </c>
      <c r="B86" s="10">
        <v>28601</v>
      </c>
      <c r="C86" s="8" t="s">
        <v>190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191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192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193</v>
      </c>
      <c r="D89" s="53">
        <v>325680</v>
      </c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194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195</v>
      </c>
      <c r="D91" s="53"/>
      <c r="E91" s="53"/>
      <c r="G91"/>
      <c r="H91"/>
      <c r="I91"/>
    </row>
    <row r="92" spans="1:9" s="1" customFormat="1" ht="18" customHeight="1" x14ac:dyDescent="0.25">
      <c r="A92" s="10" t="s">
        <v>196</v>
      </c>
      <c r="B92" s="10">
        <v>28706</v>
      </c>
      <c r="C92" s="8" t="s">
        <v>197</v>
      </c>
      <c r="D92" s="53">
        <v>81949.990000000005</v>
      </c>
      <c r="E92" s="53"/>
      <c r="G92"/>
      <c r="H92"/>
      <c r="I92"/>
    </row>
    <row r="93" spans="1:9" s="1" customFormat="1" ht="18" customHeight="1" x14ac:dyDescent="0.25">
      <c r="A93" s="10" t="s">
        <v>198</v>
      </c>
      <c r="B93" s="10">
        <v>28801</v>
      </c>
      <c r="C93" s="8" t="s">
        <v>199</v>
      </c>
      <c r="D93" s="53">
        <f>22597799.05+5526.81</f>
        <v>22603325.859999999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373</v>
      </c>
      <c r="D94" s="53"/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374</v>
      </c>
      <c r="D95" s="53">
        <v>2000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375</v>
      </c>
      <c r="D96" s="53"/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361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201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202</v>
      </c>
      <c r="D99" s="53">
        <f>2892066.1+876688.7</f>
        <v>3768754.8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362</v>
      </c>
      <c r="D100" s="53"/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203</v>
      </c>
      <c r="D101" s="57">
        <f>SUM(D102:D154)</f>
        <v>68344591.670000002</v>
      </c>
      <c r="E101" s="57"/>
      <c r="G101"/>
      <c r="H101"/>
      <c r="I101"/>
    </row>
    <row r="102" spans="1:9" s="1" customFormat="1" ht="18" customHeight="1" x14ac:dyDescent="0.25">
      <c r="A102" s="10" t="s">
        <v>204</v>
      </c>
      <c r="B102" s="10">
        <v>31101</v>
      </c>
      <c r="C102" s="8" t="s">
        <v>205</v>
      </c>
      <c r="D102" s="53">
        <f>163219+65104</f>
        <v>228323</v>
      </c>
      <c r="E102" s="53"/>
      <c r="G102"/>
      <c r="H102"/>
      <c r="I102"/>
    </row>
    <row r="103" spans="1:9" s="1" customFormat="1" ht="18" customHeight="1" x14ac:dyDescent="0.25">
      <c r="A103" s="10" t="s">
        <v>206</v>
      </c>
      <c r="B103" s="10">
        <v>31303</v>
      </c>
      <c r="C103" s="8" t="s">
        <v>207</v>
      </c>
      <c r="D103" s="53"/>
      <c r="E103" s="53"/>
      <c r="G103"/>
      <c r="H103"/>
      <c r="I103"/>
    </row>
    <row r="104" spans="1:9" s="1" customFormat="1" ht="18" customHeight="1" x14ac:dyDescent="0.25">
      <c r="A104" s="10" t="s">
        <v>208</v>
      </c>
      <c r="B104" s="10">
        <v>31401</v>
      </c>
      <c r="C104" s="8" t="s">
        <v>209</v>
      </c>
      <c r="D104" s="53">
        <v>2000.01</v>
      </c>
      <c r="E104" s="53"/>
      <c r="G104"/>
      <c r="H104"/>
      <c r="I104"/>
    </row>
    <row r="105" spans="1:9" s="1" customFormat="1" ht="18" customHeight="1" x14ac:dyDescent="0.25">
      <c r="A105" s="10" t="s">
        <v>210</v>
      </c>
      <c r="B105" s="10">
        <v>32101</v>
      </c>
      <c r="C105" s="8" t="s">
        <v>211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212</v>
      </c>
      <c r="B106" s="10">
        <v>32201</v>
      </c>
      <c r="C106" s="8" t="s">
        <v>213</v>
      </c>
      <c r="D106" s="53">
        <v>2425.5</v>
      </c>
      <c r="E106" s="53"/>
      <c r="G106"/>
      <c r="H106"/>
      <c r="I106"/>
    </row>
    <row r="107" spans="1:9" s="1" customFormat="1" ht="18" customHeight="1" x14ac:dyDescent="0.25">
      <c r="A107" s="10" t="s">
        <v>214</v>
      </c>
      <c r="B107" s="10">
        <v>32301</v>
      </c>
      <c r="C107" s="8" t="s">
        <v>215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216</v>
      </c>
      <c r="B108" s="10">
        <v>32401</v>
      </c>
      <c r="C108" s="8" t="s">
        <v>217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218</v>
      </c>
      <c r="B109" s="10">
        <v>33101</v>
      </c>
      <c r="C109" s="8" t="s">
        <v>219</v>
      </c>
      <c r="D109" s="53"/>
      <c r="E109" s="53"/>
      <c r="G109"/>
      <c r="H109"/>
      <c r="I109"/>
    </row>
    <row r="110" spans="1:9" s="1" customFormat="1" ht="18" customHeight="1" x14ac:dyDescent="0.25">
      <c r="A110" s="10" t="s">
        <v>220</v>
      </c>
      <c r="B110" s="10">
        <v>33201</v>
      </c>
      <c r="C110" s="8" t="s">
        <v>221</v>
      </c>
      <c r="D110" s="53">
        <v>806</v>
      </c>
      <c r="E110" s="53"/>
      <c r="G110"/>
      <c r="H110"/>
      <c r="I110"/>
    </row>
    <row r="111" spans="1:9" s="1" customFormat="1" ht="18" customHeight="1" x14ac:dyDescent="0.25">
      <c r="A111" s="10" t="s">
        <v>222</v>
      </c>
      <c r="B111" s="10">
        <v>33301</v>
      </c>
      <c r="C111" s="8" t="s">
        <v>223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224</v>
      </c>
      <c r="B112" s="10">
        <v>33401</v>
      </c>
      <c r="C112" s="8" t="s">
        <v>225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227</v>
      </c>
      <c r="D113" s="53">
        <f>7000000+59796259.2</f>
        <v>66796259.200000003</v>
      </c>
      <c r="E113" s="53"/>
      <c r="G113"/>
      <c r="H113"/>
      <c r="I113"/>
    </row>
    <row r="114" spans="1:9" s="1" customFormat="1" ht="18" customHeight="1" x14ac:dyDescent="0.25">
      <c r="A114" s="10" t="s">
        <v>228</v>
      </c>
      <c r="B114" s="10">
        <v>34101</v>
      </c>
      <c r="C114" s="8" t="s">
        <v>229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230</v>
      </c>
      <c r="B115" s="10">
        <v>35101</v>
      </c>
      <c r="C115" s="8" t="s">
        <v>231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232</v>
      </c>
      <c r="B116" s="10">
        <v>35201</v>
      </c>
      <c r="C116" s="8" t="s">
        <v>233</v>
      </c>
      <c r="D116" s="53"/>
      <c r="E116" s="53"/>
      <c r="G116"/>
      <c r="H116"/>
      <c r="I116"/>
    </row>
    <row r="117" spans="1:9" ht="18" customHeight="1" x14ac:dyDescent="0.25">
      <c r="A117" s="10" t="s">
        <v>234</v>
      </c>
      <c r="B117" s="10">
        <v>35301</v>
      </c>
      <c r="C117" s="8" t="s">
        <v>235</v>
      </c>
      <c r="D117" s="53"/>
      <c r="E117" s="53"/>
    </row>
    <row r="118" spans="1:9" ht="18" customHeight="1" x14ac:dyDescent="0.25">
      <c r="A118" s="10" t="s">
        <v>236</v>
      </c>
      <c r="B118" s="10">
        <v>35401</v>
      </c>
      <c r="C118" s="8" t="s">
        <v>237</v>
      </c>
      <c r="D118" s="53"/>
      <c r="E118" s="53"/>
    </row>
    <row r="119" spans="1:9" ht="18" customHeight="1" x14ac:dyDescent="0.25">
      <c r="A119" s="10" t="s">
        <v>238</v>
      </c>
      <c r="B119" s="10">
        <v>35501</v>
      </c>
      <c r="C119" s="8" t="s">
        <v>239</v>
      </c>
      <c r="D119" s="53">
        <f>147500+2926.51</f>
        <v>150426.51</v>
      </c>
      <c r="E119" s="53"/>
    </row>
    <row r="120" spans="1:9" ht="18" customHeight="1" x14ac:dyDescent="0.25">
      <c r="A120" s="10" t="s">
        <v>240</v>
      </c>
      <c r="B120" s="10">
        <v>36101</v>
      </c>
      <c r="C120" s="8" t="s">
        <v>241</v>
      </c>
      <c r="D120" s="53">
        <v>460.01</v>
      </c>
      <c r="E120" s="53"/>
    </row>
    <row r="121" spans="1:9" ht="18" customHeight="1" x14ac:dyDescent="0.25">
      <c r="A121" s="10"/>
      <c r="B121" s="10">
        <v>36102</v>
      </c>
      <c r="C121" s="8" t="s">
        <v>242</v>
      </c>
      <c r="D121" s="53"/>
      <c r="E121" s="53"/>
    </row>
    <row r="122" spans="1:9" ht="18" customHeight="1" x14ac:dyDescent="0.25">
      <c r="A122" s="10" t="s">
        <v>243</v>
      </c>
      <c r="B122" s="10">
        <v>36104</v>
      </c>
      <c r="C122" s="8" t="s">
        <v>244</v>
      </c>
      <c r="D122" s="53"/>
      <c r="E122" s="53"/>
    </row>
    <row r="123" spans="1:9" ht="18" customHeight="1" x14ac:dyDescent="0.25">
      <c r="A123" s="10" t="s">
        <v>245</v>
      </c>
      <c r="B123" s="10">
        <v>36201</v>
      </c>
      <c r="C123" s="8" t="s">
        <v>246</v>
      </c>
      <c r="D123" s="53"/>
      <c r="E123" s="53"/>
    </row>
    <row r="124" spans="1:9" ht="18" customHeight="1" x14ac:dyDescent="0.25">
      <c r="A124" s="10" t="s">
        <v>247</v>
      </c>
      <c r="B124" s="10">
        <v>36202</v>
      </c>
      <c r="C124" s="8" t="s">
        <v>248</v>
      </c>
      <c r="D124" s="53"/>
      <c r="E124" s="53"/>
    </row>
    <row r="125" spans="1:9" ht="18" customHeight="1" x14ac:dyDescent="0.25">
      <c r="A125" s="10" t="s">
        <v>249</v>
      </c>
      <c r="B125" s="10">
        <v>36203</v>
      </c>
      <c r="C125" s="8" t="s">
        <v>250</v>
      </c>
      <c r="D125" s="53"/>
      <c r="E125" s="53"/>
    </row>
    <row r="126" spans="1:9" ht="18" customHeight="1" x14ac:dyDescent="0.25">
      <c r="A126" s="10" t="s">
        <v>251</v>
      </c>
      <c r="B126" s="10">
        <v>36301</v>
      </c>
      <c r="C126" s="8" t="s">
        <v>252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248</v>
      </c>
      <c r="D127" s="53"/>
      <c r="E127" s="53"/>
    </row>
    <row r="128" spans="1:9" ht="18" customHeight="1" x14ac:dyDescent="0.25">
      <c r="A128" s="10" t="s">
        <v>253</v>
      </c>
      <c r="B128" s="10">
        <v>36303</v>
      </c>
      <c r="C128" s="8" t="s">
        <v>254</v>
      </c>
      <c r="D128" s="53"/>
      <c r="E128" s="53"/>
    </row>
    <row r="129" spans="1:9" ht="18" customHeight="1" x14ac:dyDescent="0.25">
      <c r="A129" s="10" t="s">
        <v>255</v>
      </c>
      <c r="B129" s="10">
        <v>36304</v>
      </c>
      <c r="C129" s="8" t="s">
        <v>256</v>
      </c>
      <c r="D129" s="53">
        <v>2910.99</v>
      </c>
      <c r="E129" s="53"/>
    </row>
    <row r="130" spans="1:9" s="1" customFormat="1" ht="18" customHeight="1" x14ac:dyDescent="0.25">
      <c r="A130" s="10" t="s">
        <v>255</v>
      </c>
      <c r="B130" s="10">
        <v>36306</v>
      </c>
      <c r="C130" s="8" t="s">
        <v>257</v>
      </c>
      <c r="D130" s="53">
        <v>450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258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364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243</v>
      </c>
      <c r="B133" s="51">
        <v>36403</v>
      </c>
      <c r="C133" s="52" t="s">
        <v>259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260</v>
      </c>
      <c r="B134" s="51">
        <v>37101</v>
      </c>
      <c r="C134" s="52" t="s">
        <v>261</v>
      </c>
      <c r="D134" s="53">
        <v>109911.2</v>
      </c>
      <c r="E134" s="53"/>
      <c r="G134"/>
      <c r="H134"/>
      <c r="I134"/>
    </row>
    <row r="135" spans="1:9" s="1" customFormat="1" ht="18" customHeight="1" x14ac:dyDescent="0.25">
      <c r="A135" s="10" t="s">
        <v>262</v>
      </c>
      <c r="B135" s="51">
        <v>37102</v>
      </c>
      <c r="C135" s="52" t="s">
        <v>263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264</v>
      </c>
      <c r="B136" s="51">
        <v>37104</v>
      </c>
      <c r="C136" s="52" t="s">
        <v>265</v>
      </c>
      <c r="D136" s="53">
        <v>300</v>
      </c>
      <c r="E136" s="53"/>
      <c r="G136"/>
      <c r="H136"/>
      <c r="I136"/>
    </row>
    <row r="137" spans="1:9" s="1" customFormat="1" ht="18" customHeight="1" x14ac:dyDescent="0.25">
      <c r="A137" s="10" t="s">
        <v>266</v>
      </c>
      <c r="B137" s="51">
        <v>37105</v>
      </c>
      <c r="C137" s="52" t="s">
        <v>267</v>
      </c>
      <c r="D137" s="53"/>
      <c r="E137" s="53"/>
      <c r="G137"/>
      <c r="H137"/>
      <c r="I137"/>
    </row>
    <row r="138" spans="1:9" s="1" customFormat="1" ht="18" customHeight="1" x14ac:dyDescent="0.25">
      <c r="A138" s="10" t="s">
        <v>268</v>
      </c>
      <c r="B138" s="51">
        <v>37106</v>
      </c>
      <c r="C138" s="52" t="s">
        <v>269</v>
      </c>
      <c r="D138" s="53"/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270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271</v>
      </c>
      <c r="B140" s="10">
        <v>37203</v>
      </c>
      <c r="C140" s="8" t="s">
        <v>272</v>
      </c>
      <c r="D140" s="53"/>
      <c r="E140" s="53"/>
      <c r="G140"/>
      <c r="H140"/>
      <c r="I140"/>
    </row>
    <row r="141" spans="1:9" s="1" customFormat="1" ht="18" customHeight="1" x14ac:dyDescent="0.25">
      <c r="A141" s="10" t="s">
        <v>273</v>
      </c>
      <c r="B141" s="10">
        <v>37205</v>
      </c>
      <c r="C141" s="8" t="s">
        <v>274</v>
      </c>
      <c r="D141" s="53"/>
      <c r="E141" s="53"/>
      <c r="G141"/>
      <c r="H141"/>
      <c r="I141"/>
    </row>
    <row r="142" spans="1:9" s="1" customFormat="1" ht="18" customHeight="1" x14ac:dyDescent="0.25">
      <c r="A142" s="10" t="s">
        <v>275</v>
      </c>
      <c r="B142" s="10">
        <v>37206</v>
      </c>
      <c r="C142" s="8" t="s">
        <v>276</v>
      </c>
      <c r="D142" s="53"/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277</v>
      </c>
      <c r="D143" s="53">
        <v>150</v>
      </c>
      <c r="E143" s="53"/>
      <c r="G143"/>
      <c r="H143"/>
      <c r="I143"/>
    </row>
    <row r="144" spans="1:9" s="1" customFormat="1" ht="18" customHeight="1" x14ac:dyDescent="0.25">
      <c r="A144" s="10" t="s">
        <v>278</v>
      </c>
      <c r="B144" s="51">
        <v>39101</v>
      </c>
      <c r="C144" s="52" t="s">
        <v>279</v>
      </c>
      <c r="D144" s="53">
        <f>7133.1+500</f>
        <v>7633.1</v>
      </c>
      <c r="E144" s="53"/>
      <c r="G144"/>
      <c r="H144"/>
      <c r="I144"/>
    </row>
    <row r="145" spans="1:9" s="1" customFormat="1" ht="18" customHeight="1" x14ac:dyDescent="0.25">
      <c r="A145" s="10" t="s">
        <v>280</v>
      </c>
      <c r="B145" s="51">
        <v>39201</v>
      </c>
      <c r="C145" s="52" t="s">
        <v>281</v>
      </c>
      <c r="D145" s="53">
        <f>880236.34+21441.7</f>
        <v>901678.03999999992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282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283</v>
      </c>
      <c r="B147" s="51">
        <v>39501</v>
      </c>
      <c r="C147" s="52" t="s">
        <v>284</v>
      </c>
      <c r="D147" s="53">
        <f>107527.5+4058</f>
        <v>111585.5</v>
      </c>
      <c r="E147" s="53"/>
      <c r="G147"/>
      <c r="H147"/>
      <c r="I147"/>
    </row>
    <row r="148" spans="1:9" s="1" customFormat="1" ht="18" customHeight="1" x14ac:dyDescent="0.25">
      <c r="A148" s="10" t="s">
        <v>285</v>
      </c>
      <c r="B148" s="10">
        <v>39601</v>
      </c>
      <c r="C148" s="8" t="s">
        <v>286</v>
      </c>
      <c r="D148" s="53">
        <v>2100</v>
      </c>
      <c r="E148" s="53"/>
      <c r="G148"/>
      <c r="H148"/>
      <c r="I148"/>
    </row>
    <row r="149" spans="1:9" s="1" customFormat="1" ht="18" customHeight="1" x14ac:dyDescent="0.25">
      <c r="A149" s="10" t="s">
        <v>287</v>
      </c>
      <c r="B149" s="10">
        <v>39801</v>
      </c>
      <c r="C149" s="8" t="s">
        <v>288</v>
      </c>
      <c r="D149" s="53">
        <v>297.8</v>
      </c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353</v>
      </c>
      <c r="D150" s="53"/>
      <c r="E150" s="53"/>
      <c r="G150"/>
      <c r="H150"/>
      <c r="I150"/>
    </row>
    <row r="151" spans="1:9" s="1" customFormat="1" ht="18" customHeight="1" x14ac:dyDescent="0.25">
      <c r="A151" s="10" t="s">
        <v>289</v>
      </c>
      <c r="B151" s="10">
        <v>39901</v>
      </c>
      <c r="C151" s="8" t="s">
        <v>290</v>
      </c>
      <c r="D151" s="53">
        <v>5668.81</v>
      </c>
      <c r="E151" s="53"/>
      <c r="G151"/>
      <c r="H151"/>
      <c r="I151"/>
    </row>
    <row r="152" spans="1:9" s="1" customFormat="1" ht="18" customHeight="1" x14ac:dyDescent="0.25">
      <c r="A152" s="10" t="s">
        <v>289</v>
      </c>
      <c r="B152" s="10">
        <v>39902</v>
      </c>
      <c r="C152" s="8" t="s">
        <v>291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292</v>
      </c>
      <c r="D153" s="53">
        <f>21004+202</f>
        <v>21206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293</v>
      </c>
      <c r="D154" s="53"/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294</v>
      </c>
      <c r="D155" s="57">
        <f>SUM(D156:D176)</f>
        <v>0</v>
      </c>
      <c r="E155" s="57"/>
      <c r="G155"/>
      <c r="H155"/>
      <c r="I155"/>
    </row>
    <row r="156" spans="1:9" s="1" customFormat="1" ht="18" customHeight="1" x14ac:dyDescent="0.25">
      <c r="A156" s="10" t="s">
        <v>295</v>
      </c>
      <c r="B156" s="10">
        <v>41103</v>
      </c>
      <c r="C156" s="8" t="s">
        <v>296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297</v>
      </c>
      <c r="B157" s="10">
        <v>41201</v>
      </c>
      <c r="C157" s="8" t="s">
        <v>298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299</v>
      </c>
      <c r="B158" s="10">
        <v>41202</v>
      </c>
      <c r="C158" s="8" t="s">
        <v>300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301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302</v>
      </c>
      <c r="B160" s="10">
        <v>41402</v>
      </c>
      <c r="C160" s="8" t="s">
        <v>303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304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305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306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307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308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309</v>
      </c>
      <c r="B166" s="10">
        <v>44102</v>
      </c>
      <c r="C166" s="8" t="s">
        <v>310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311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358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77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314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77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315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316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42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315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317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318</v>
      </c>
      <c r="C177" s="98"/>
      <c r="D177" s="62">
        <f>+E15-E16</f>
        <v>687845734.00999987</v>
      </c>
      <c r="E177" s="62">
        <f>+E15-E16</f>
        <v>687845734.00999987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319</v>
      </c>
      <c r="B185" s="23">
        <v>6</v>
      </c>
      <c r="C185" s="5" t="s">
        <v>320</v>
      </c>
      <c r="D185" s="12">
        <f>SUM(D186:D208)</f>
        <v>3457220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321</v>
      </c>
      <c r="D186" s="53">
        <v>844880</v>
      </c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322</v>
      </c>
      <c r="D187" s="53"/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323</v>
      </c>
      <c r="D188" s="53"/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324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325</v>
      </c>
      <c r="D190" s="53">
        <v>16520</v>
      </c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326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327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328</v>
      </c>
      <c r="D193" s="53">
        <v>400000</v>
      </c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329</v>
      </c>
      <c r="D194" s="53"/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330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331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332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333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334</v>
      </c>
      <c r="D199" s="53">
        <v>1945820</v>
      </c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335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336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337</v>
      </c>
      <c r="D202" s="53"/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338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339</v>
      </c>
      <c r="D204" s="53">
        <v>250000</v>
      </c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340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341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342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359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343</v>
      </c>
      <c r="D209" s="57">
        <f>SUM(D210:D211)</f>
        <v>0</v>
      </c>
      <c r="E209" s="25"/>
      <c r="G209"/>
      <c r="H209"/>
      <c r="I209"/>
    </row>
    <row r="210" spans="1:9" s="1" customFormat="1" x14ac:dyDescent="0.25">
      <c r="A210" s="27" t="s">
        <v>344</v>
      </c>
      <c r="B210" s="10">
        <v>71201</v>
      </c>
      <c r="C210" s="8" t="s">
        <v>345</v>
      </c>
      <c r="D210" s="24"/>
      <c r="E210" s="25"/>
      <c r="G210"/>
      <c r="H210"/>
      <c r="I210"/>
    </row>
    <row r="211" spans="1:9" s="1" customFormat="1" x14ac:dyDescent="0.25">
      <c r="A211" s="27" t="s">
        <v>346</v>
      </c>
      <c r="B211" s="10">
        <v>71501</v>
      </c>
      <c r="C211" s="8" t="s">
        <v>347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3457220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376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377</v>
      </c>
      <c r="E218" s="21"/>
      <c r="G218"/>
      <c r="H218"/>
      <c r="I218"/>
    </row>
    <row r="219" spans="1:9" s="1" customFormat="1" x14ac:dyDescent="0.25">
      <c r="A219"/>
      <c r="B219"/>
      <c r="C219" s="2" t="s">
        <v>349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workbookViewId="0">
      <selection activeCell="AB25" sqref="AB25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6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387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379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89" t="s">
        <v>13</v>
      </c>
    </row>
    <row r="9" spans="1:27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22</v>
      </c>
      <c r="Z10" s="37"/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>
        <v>1064063495.54</v>
      </c>
    </row>
    <row r="12" spans="1:27" x14ac:dyDescent="0.25">
      <c r="A12" t="s">
        <v>385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165595595.05000001</v>
      </c>
    </row>
    <row r="13" spans="1:27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37">
        <v>25636487.41</v>
      </c>
    </row>
    <row r="14" spans="1:27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ht="15.75" thickBot="1" x14ac:dyDescent="0.3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31">
        <f>SUM(Z11:Z14)</f>
        <v>1255295578</v>
      </c>
    </row>
    <row r="16" spans="1:27" ht="15.75" thickTop="1" x14ac:dyDescent="0.25">
      <c r="Z16" s="37"/>
    </row>
    <row r="17" spans="1:27" x14ac:dyDescent="0.25">
      <c r="A17" s="90" t="s">
        <v>28</v>
      </c>
      <c r="Z17" s="37"/>
    </row>
    <row r="18" spans="1:27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7">
        <v>513158396.16000003</v>
      </c>
    </row>
    <row r="19" spans="1:27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37">
        <v>64819607.780000001</v>
      </c>
      <c r="AA19" s="37"/>
    </row>
    <row r="20" spans="1:27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173555483</v>
      </c>
      <c r="AA20" s="39"/>
    </row>
    <row r="21" spans="1:27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7">
        <v>45116327.609999999</v>
      </c>
    </row>
    <row r="22" spans="1:27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796649814.55000007</v>
      </c>
    </row>
    <row r="23" spans="1:27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2051945392.5500002</v>
      </c>
    </row>
    <row r="24" spans="1:27" ht="15.75" thickTop="1" x14ac:dyDescent="0.25"/>
    <row r="25" spans="1:27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22</v>
      </c>
      <c r="Z26" s="37"/>
    </row>
    <row r="27" spans="1:27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8707.25</v>
      </c>
    </row>
    <row r="28" spans="1:27" x14ac:dyDescent="0.25">
      <c r="A28" t="s">
        <v>37</v>
      </c>
      <c r="Z28" s="37">
        <v>3740918.61</v>
      </c>
    </row>
    <row r="29" spans="1:27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7"/>
    </row>
    <row r="30" spans="1:27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3749625.86</v>
      </c>
    </row>
    <row r="32" spans="1:27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3749625.86</v>
      </c>
      <c r="AD33" s="37"/>
      <c r="AE33" s="1"/>
    </row>
    <row r="35" spans="1:31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-431566091.75+101734502.89+29725876.87-6268.42+257872731.82+148409315.1-45308697.06+196309813.85+461974168.18</f>
        <v>719145351.48000002</v>
      </c>
      <c r="AD39" s="37"/>
    </row>
    <row r="40" spans="1:31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2048195766.6899998</v>
      </c>
      <c r="AE40" s="37"/>
    </row>
    <row r="41" spans="1:31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Y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>+Z33+Z40</f>
        <v>2051945392.5499997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380</v>
      </c>
      <c r="G45" s="1">
        <f>+G41-G23</f>
        <v>0</v>
      </c>
    </row>
    <row r="46" spans="1:31" x14ac:dyDescent="0.25">
      <c r="A46" s="92" t="s">
        <v>381</v>
      </c>
    </row>
    <row r="47" spans="1:31" x14ac:dyDescent="0.25">
      <c r="A47" t="s">
        <v>52</v>
      </c>
    </row>
    <row r="48" spans="1:31" x14ac:dyDescent="0.25">
      <c r="A48" s="91" t="s">
        <v>53</v>
      </c>
    </row>
    <row r="49" spans="1:1" x14ac:dyDescent="0.25">
      <c r="A49" s="92" t="s">
        <v>54</v>
      </c>
    </row>
    <row r="260" spans="27:27" x14ac:dyDescent="0.25">
      <c r="AA260" t="s">
        <v>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workbookViewId="0">
      <selection activeCell="C69" sqref="C69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388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/>
      <c r="E9" s="71"/>
    </row>
    <row r="10" spans="1:7" x14ac:dyDescent="0.25">
      <c r="A10" s="10" t="s">
        <v>64</v>
      </c>
      <c r="B10" s="7" t="s">
        <v>65</v>
      </c>
      <c r="C10" s="8" t="s">
        <v>383</v>
      </c>
      <c r="D10" s="82"/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663683765.13999999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0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93">
        <v>490937.46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4" t="s">
        <v>77</v>
      </c>
      <c r="D15" s="9"/>
      <c r="E15" s="85">
        <f>SUM(D10:D14)</f>
        <v>664174702.60000002</v>
      </c>
    </row>
    <row r="16" spans="1:7" x14ac:dyDescent="0.25">
      <c r="A16" s="51"/>
      <c r="B16" s="51"/>
      <c r="C16" s="83" t="s">
        <v>78</v>
      </c>
      <c r="D16" s="64">
        <f>+D17+D43+D102+D156+D186+D210</f>
        <v>73910059.379999995</v>
      </c>
      <c r="E16" s="64">
        <f>+D16</f>
        <v>73910059.379999995</v>
      </c>
      <c r="G16" s="37"/>
    </row>
    <row r="17" spans="1:9" x14ac:dyDescent="0.25">
      <c r="A17" s="51"/>
      <c r="B17" s="69">
        <v>1</v>
      </c>
      <c r="C17" s="63" t="s">
        <v>79</v>
      </c>
      <c r="D17" s="57">
        <f>SUM(D18:D42)</f>
        <v>60460805.740000002</v>
      </c>
      <c r="E17" s="57" t="s">
        <v>3</v>
      </c>
    </row>
    <row r="18" spans="1:9" ht="18" customHeight="1" x14ac:dyDescent="0.25">
      <c r="A18" s="51" t="s">
        <v>80</v>
      </c>
      <c r="B18" s="51">
        <v>11101</v>
      </c>
      <c r="C18" s="52" t="s">
        <v>81</v>
      </c>
      <c r="D18" s="53">
        <f>19589936.2+1100000</f>
        <v>20689936.199999999</v>
      </c>
      <c r="E18" s="53"/>
    </row>
    <row r="19" spans="1:9" ht="18" customHeight="1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ht="18" customHeight="1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ht="18" customHeight="1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18" customHeight="1" x14ac:dyDescent="0.25">
      <c r="A22" s="10" t="s">
        <v>88</v>
      </c>
      <c r="B22" s="10">
        <v>11205</v>
      </c>
      <c r="C22" s="8" t="s">
        <v>89</v>
      </c>
      <c r="D22" s="65"/>
      <c r="E22" s="9"/>
    </row>
    <row r="23" spans="1:9" ht="18" customHeight="1" x14ac:dyDescent="0.25">
      <c r="A23" s="10"/>
      <c r="B23" s="10">
        <v>11208</v>
      </c>
      <c r="C23" s="8" t="s">
        <v>90</v>
      </c>
      <c r="D23" s="65">
        <v>7112200</v>
      </c>
      <c r="E23" s="9"/>
    </row>
    <row r="24" spans="1:9" ht="18" customHeight="1" x14ac:dyDescent="0.25">
      <c r="A24" s="10"/>
      <c r="B24" s="10">
        <v>11210</v>
      </c>
      <c r="C24" s="8" t="s">
        <v>91</v>
      </c>
      <c r="D24" s="53">
        <v>26404285.050000001</v>
      </c>
      <c r="E24" s="53"/>
    </row>
    <row r="25" spans="1:9" ht="18" customHeight="1" x14ac:dyDescent="0.25">
      <c r="A25" s="10"/>
      <c r="B25" s="10">
        <v>11211</v>
      </c>
      <c r="C25" s="8" t="s">
        <v>92</v>
      </c>
      <c r="D25" s="53">
        <v>91000</v>
      </c>
      <c r="E25" s="53"/>
    </row>
    <row r="26" spans="1:9" ht="18" customHeight="1" x14ac:dyDescent="0.25">
      <c r="A26" s="10" t="s">
        <v>93</v>
      </c>
      <c r="B26" s="10">
        <v>11401</v>
      </c>
      <c r="C26" s="8" t="s">
        <v>370</v>
      </c>
      <c r="D26" s="53"/>
      <c r="E26" s="53"/>
    </row>
    <row r="27" spans="1:9" ht="18" customHeight="1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97</v>
      </c>
      <c r="D28" s="53"/>
      <c r="E28" s="53"/>
    </row>
    <row r="29" spans="1:9" ht="18" customHeight="1" x14ac:dyDescent="0.25">
      <c r="A29" s="10"/>
      <c r="B29" s="10">
        <v>11504</v>
      </c>
      <c r="C29" s="8" t="s">
        <v>98</v>
      </c>
      <c r="D29" s="53">
        <v>466820.49</v>
      </c>
      <c r="E29" s="53"/>
    </row>
    <row r="30" spans="1:9" ht="18" customHeight="1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100</v>
      </c>
      <c r="D31" s="53"/>
      <c r="E31" s="53"/>
    </row>
    <row r="32" spans="1:9" ht="18" customHeight="1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6" ht="18" customHeight="1" x14ac:dyDescent="0.25">
      <c r="A33" s="10" t="s">
        <v>103</v>
      </c>
      <c r="B33" s="10">
        <v>12205</v>
      </c>
      <c r="C33" s="8" t="s">
        <v>104</v>
      </c>
      <c r="D33" s="53">
        <v>1470000</v>
      </c>
      <c r="E33" s="53"/>
    </row>
    <row r="34" spans="1:6" ht="18" customHeight="1" x14ac:dyDescent="0.25">
      <c r="A34" s="10" t="s">
        <v>105</v>
      </c>
      <c r="B34" s="10">
        <v>12206</v>
      </c>
      <c r="C34" s="8" t="s">
        <v>106</v>
      </c>
      <c r="D34" s="53"/>
      <c r="E34" s="53"/>
    </row>
    <row r="35" spans="1:6" ht="18" customHeight="1" x14ac:dyDescent="0.25">
      <c r="A35" s="10" t="s">
        <v>107</v>
      </c>
      <c r="B35" s="10">
        <v>12209</v>
      </c>
      <c r="C35" s="8" t="s">
        <v>108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109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100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110</v>
      </c>
      <c r="D38" s="53"/>
      <c r="E38" s="53"/>
    </row>
    <row r="39" spans="1:6" ht="18" customHeight="1" x14ac:dyDescent="0.25">
      <c r="A39" s="10" t="s">
        <v>111</v>
      </c>
      <c r="B39" s="10">
        <v>13101</v>
      </c>
      <c r="C39" s="8" t="s">
        <v>112</v>
      </c>
      <c r="D39" s="53"/>
      <c r="E39" s="53"/>
    </row>
    <row r="40" spans="1:6" ht="18" customHeight="1" x14ac:dyDescent="0.25">
      <c r="A40" s="10" t="s">
        <v>113</v>
      </c>
      <c r="B40" s="10">
        <v>15101</v>
      </c>
      <c r="C40" s="8" t="s">
        <v>114</v>
      </c>
      <c r="D40" s="54">
        <f>1892374.97+77990</f>
        <v>1970364.97</v>
      </c>
      <c r="E40" s="53"/>
    </row>
    <row r="41" spans="1:6" ht="18" customHeight="1" x14ac:dyDescent="0.25">
      <c r="A41" s="10" t="s">
        <v>115</v>
      </c>
      <c r="B41" s="10">
        <v>15201</v>
      </c>
      <c r="C41" s="8" t="s">
        <v>116</v>
      </c>
      <c r="D41" s="53">
        <f>1896369.78+78100</f>
        <v>1974469.78</v>
      </c>
      <c r="E41" s="53"/>
    </row>
    <row r="42" spans="1:6" ht="18" customHeight="1" x14ac:dyDescent="0.25">
      <c r="A42" s="10"/>
      <c r="B42" s="10">
        <v>15301</v>
      </c>
      <c r="C42" s="8" t="s">
        <v>117</v>
      </c>
      <c r="D42" s="53">
        <f>269629.25+12100</f>
        <v>281729.25</v>
      </c>
      <c r="E42" s="53"/>
    </row>
    <row r="43" spans="1:6" ht="18" customHeight="1" x14ac:dyDescent="0.25">
      <c r="A43" s="51"/>
      <c r="B43" s="69">
        <v>2</v>
      </c>
      <c r="C43" s="63" t="s">
        <v>118</v>
      </c>
      <c r="D43" s="57">
        <f>SUM(D44:D101)</f>
        <v>9313085.629999999</v>
      </c>
      <c r="E43" s="57"/>
    </row>
    <row r="44" spans="1:6" ht="18" customHeight="1" x14ac:dyDescent="0.25">
      <c r="A44" s="10" t="s">
        <v>119</v>
      </c>
      <c r="B44" s="10">
        <v>21201</v>
      </c>
      <c r="C44" s="8" t="s">
        <v>120</v>
      </c>
      <c r="D44" s="54">
        <v>11228.41</v>
      </c>
      <c r="E44" s="53"/>
    </row>
    <row r="45" spans="1:6" ht="18" customHeight="1" x14ac:dyDescent="0.25">
      <c r="A45" s="10" t="s">
        <v>121</v>
      </c>
      <c r="B45" s="10">
        <v>21301</v>
      </c>
      <c r="C45" s="8" t="s">
        <v>122</v>
      </c>
      <c r="D45" s="53">
        <v>57093.7</v>
      </c>
      <c r="E45" s="53"/>
    </row>
    <row r="46" spans="1:6" ht="18" customHeight="1" x14ac:dyDescent="0.25">
      <c r="A46" s="10" t="s">
        <v>123</v>
      </c>
      <c r="B46" s="10">
        <v>21401</v>
      </c>
      <c r="C46" s="8" t="s">
        <v>124</v>
      </c>
      <c r="D46" s="53">
        <v>2024.95</v>
      </c>
      <c r="E46" s="53"/>
    </row>
    <row r="47" spans="1:6" ht="18" customHeight="1" x14ac:dyDescent="0.25">
      <c r="A47" s="10" t="s">
        <v>125</v>
      </c>
      <c r="B47" s="10">
        <v>21501</v>
      </c>
      <c r="C47" s="8" t="s">
        <v>126</v>
      </c>
      <c r="D47" s="53">
        <v>999519.12</v>
      </c>
      <c r="E47" s="53"/>
      <c r="F47"/>
    </row>
    <row r="48" spans="1:6" ht="18" customHeight="1" x14ac:dyDescent="0.25">
      <c r="A48" s="10" t="s">
        <v>127</v>
      </c>
      <c r="B48" s="10">
        <v>21601</v>
      </c>
      <c r="C48" s="8" t="s">
        <v>128</v>
      </c>
      <c r="D48" s="53">
        <v>537112.23</v>
      </c>
      <c r="E48" s="53"/>
      <c r="F48"/>
    </row>
    <row r="49" spans="1:6" ht="18" customHeight="1" x14ac:dyDescent="0.25">
      <c r="A49" s="10" t="s">
        <v>129</v>
      </c>
      <c r="B49" s="10">
        <v>21701</v>
      </c>
      <c r="C49" s="8" t="s">
        <v>130</v>
      </c>
      <c r="D49" s="53">
        <f>7980+33253</f>
        <v>41233</v>
      </c>
      <c r="E49" s="53"/>
      <c r="F49"/>
    </row>
    <row r="50" spans="1:6" ht="18" customHeight="1" x14ac:dyDescent="0.25">
      <c r="A50" s="10" t="s">
        <v>131</v>
      </c>
      <c r="B50" s="10">
        <v>21801</v>
      </c>
      <c r="C50" s="8" t="s">
        <v>132</v>
      </c>
      <c r="D50" s="53">
        <v>10600</v>
      </c>
      <c r="E50" s="53"/>
      <c r="F50"/>
    </row>
    <row r="51" spans="1:6" ht="18" customHeight="1" x14ac:dyDescent="0.25">
      <c r="A51" s="10" t="s">
        <v>133</v>
      </c>
      <c r="B51" s="10">
        <v>22101</v>
      </c>
      <c r="C51" s="8" t="s">
        <v>134</v>
      </c>
      <c r="D51" s="53"/>
      <c r="E51" s="53"/>
      <c r="F51"/>
    </row>
    <row r="52" spans="1:6" ht="18" customHeight="1" x14ac:dyDescent="0.25">
      <c r="A52" s="10"/>
      <c r="B52" s="10">
        <v>22103</v>
      </c>
      <c r="C52" s="8" t="s">
        <v>371</v>
      </c>
      <c r="D52" s="53">
        <v>67054.679999999993</v>
      </c>
      <c r="E52" s="53"/>
      <c r="F52"/>
    </row>
    <row r="53" spans="1:6" ht="18" customHeight="1" x14ac:dyDescent="0.25">
      <c r="A53" s="10" t="s">
        <v>135</v>
      </c>
      <c r="B53" s="10">
        <v>22201</v>
      </c>
      <c r="C53" s="8" t="s">
        <v>136</v>
      </c>
      <c r="D53" s="53"/>
      <c r="E53" s="53"/>
      <c r="F53"/>
    </row>
    <row r="54" spans="1:6" ht="18" customHeight="1" x14ac:dyDescent="0.25">
      <c r="A54" s="10" t="s">
        <v>137</v>
      </c>
      <c r="B54" s="10">
        <v>23101</v>
      </c>
      <c r="C54" s="8" t="s">
        <v>138</v>
      </c>
      <c r="D54" s="53">
        <f>565200+249350</f>
        <v>814550</v>
      </c>
      <c r="E54" s="53"/>
      <c r="F54"/>
    </row>
    <row r="55" spans="1:6" ht="18" customHeight="1" x14ac:dyDescent="0.25">
      <c r="A55" s="10" t="s">
        <v>139</v>
      </c>
      <c r="B55" s="10">
        <v>23201</v>
      </c>
      <c r="C55" s="8" t="s">
        <v>140</v>
      </c>
      <c r="D55" s="53"/>
      <c r="E55" s="53"/>
      <c r="F55"/>
    </row>
    <row r="56" spans="1:6" ht="18" customHeight="1" x14ac:dyDescent="0.25">
      <c r="A56" s="10" t="s">
        <v>141</v>
      </c>
      <c r="B56" s="10">
        <v>24101</v>
      </c>
      <c r="C56" s="8" t="s">
        <v>372</v>
      </c>
      <c r="D56" s="53"/>
      <c r="E56" s="53"/>
      <c r="F56"/>
    </row>
    <row r="57" spans="1:6" ht="18" customHeight="1" x14ac:dyDescent="0.25">
      <c r="A57" s="10" t="s">
        <v>143</v>
      </c>
      <c r="B57" s="10">
        <v>24201</v>
      </c>
      <c r="C57" s="8" t="s">
        <v>144</v>
      </c>
      <c r="D57" s="53"/>
      <c r="E57" s="53"/>
      <c r="F57"/>
    </row>
    <row r="58" spans="1:6" ht="18" customHeight="1" x14ac:dyDescent="0.25">
      <c r="A58" s="10" t="s">
        <v>145</v>
      </c>
      <c r="B58" s="10">
        <v>24401</v>
      </c>
      <c r="C58" s="8" t="s">
        <v>146</v>
      </c>
      <c r="D58" s="53">
        <v>1150</v>
      </c>
      <c r="E58" s="53"/>
      <c r="F58"/>
    </row>
    <row r="59" spans="1:6" ht="18" customHeight="1" x14ac:dyDescent="0.25">
      <c r="A59" s="10" t="s">
        <v>147</v>
      </c>
      <c r="B59" s="10">
        <v>25101</v>
      </c>
      <c r="C59" s="8" t="s">
        <v>148</v>
      </c>
      <c r="D59" s="53">
        <v>232024.56</v>
      </c>
      <c r="E59" s="53"/>
      <c r="F59"/>
    </row>
    <row r="60" spans="1:6" ht="18" customHeight="1" x14ac:dyDescent="0.25">
      <c r="A60" s="10"/>
      <c r="B60" s="10">
        <v>25302</v>
      </c>
      <c r="C60" s="8" t="s">
        <v>149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150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151</v>
      </c>
      <c r="D62" s="53"/>
      <c r="E62" s="53"/>
    </row>
    <row r="63" spans="1:6" ht="18" customHeight="1" x14ac:dyDescent="0.25">
      <c r="A63" s="10" t="s">
        <v>152</v>
      </c>
      <c r="B63" s="10">
        <v>25401</v>
      </c>
      <c r="C63" s="8" t="s">
        <v>153</v>
      </c>
      <c r="D63" s="53">
        <v>224000</v>
      </c>
      <c r="E63" s="53"/>
    </row>
    <row r="64" spans="1:6" ht="18" customHeight="1" x14ac:dyDescent="0.25">
      <c r="A64" s="10" t="s">
        <v>154</v>
      </c>
      <c r="B64" s="10">
        <v>25801</v>
      </c>
      <c r="C64" s="8" t="s">
        <v>155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352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156</v>
      </c>
      <c r="D66" s="53"/>
      <c r="E66" s="53"/>
    </row>
    <row r="67" spans="1:9" s="1" customFormat="1" ht="18" customHeight="1" x14ac:dyDescent="0.25">
      <c r="A67" s="10" t="s">
        <v>157</v>
      </c>
      <c r="B67" s="10">
        <v>26201</v>
      </c>
      <c r="C67" s="8" t="s">
        <v>158</v>
      </c>
      <c r="D67" s="53"/>
      <c r="E67" s="53"/>
      <c r="G67"/>
      <c r="H67"/>
      <c r="I67"/>
    </row>
    <row r="68" spans="1:9" s="1" customFormat="1" ht="18" customHeight="1" x14ac:dyDescent="0.25">
      <c r="A68" s="10" t="s">
        <v>159</v>
      </c>
      <c r="B68" s="10">
        <v>26301</v>
      </c>
      <c r="C68" s="8" t="s">
        <v>160</v>
      </c>
      <c r="D68" s="53">
        <v>883247.7</v>
      </c>
      <c r="E68" s="53"/>
      <c r="G68"/>
      <c r="H68"/>
      <c r="I68"/>
    </row>
    <row r="69" spans="1:9" s="1" customFormat="1" ht="18" customHeight="1" x14ac:dyDescent="0.25">
      <c r="A69" s="10" t="s">
        <v>161</v>
      </c>
      <c r="B69" s="10">
        <v>27101</v>
      </c>
      <c r="C69" s="13" t="s">
        <v>162</v>
      </c>
      <c r="D69" s="53">
        <v>380786</v>
      </c>
      <c r="E69" s="53"/>
      <c r="G69"/>
      <c r="H69"/>
      <c r="I69"/>
    </row>
    <row r="70" spans="1:9" s="1" customFormat="1" ht="18" customHeight="1" x14ac:dyDescent="0.25">
      <c r="A70" s="10" t="s">
        <v>163</v>
      </c>
      <c r="B70" s="10">
        <v>27102</v>
      </c>
      <c r="C70" s="8" t="s">
        <v>164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165</v>
      </c>
      <c r="D71" s="53"/>
      <c r="E71" s="53"/>
      <c r="G71"/>
      <c r="H71"/>
      <c r="I71"/>
    </row>
    <row r="72" spans="1:9" s="1" customFormat="1" ht="18" customHeight="1" x14ac:dyDescent="0.25">
      <c r="A72" s="10" t="s">
        <v>166</v>
      </c>
      <c r="B72" s="10">
        <v>27106</v>
      </c>
      <c r="C72" s="8" t="s">
        <v>167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168</v>
      </c>
      <c r="D73" s="53"/>
      <c r="E73" s="53"/>
      <c r="G73"/>
      <c r="H73"/>
      <c r="I73"/>
    </row>
    <row r="74" spans="1:9" s="1" customFormat="1" ht="18" customHeight="1" x14ac:dyDescent="0.25">
      <c r="A74" s="10" t="s">
        <v>169</v>
      </c>
      <c r="B74" s="10">
        <v>27201</v>
      </c>
      <c r="C74" s="8" t="s">
        <v>170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171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172</v>
      </c>
      <c r="D76" s="53"/>
      <c r="E76" s="53"/>
      <c r="G76"/>
      <c r="H76"/>
      <c r="I76"/>
    </row>
    <row r="77" spans="1:9" s="1" customFormat="1" ht="18" customHeight="1" x14ac:dyDescent="0.25">
      <c r="A77" s="10" t="s">
        <v>173</v>
      </c>
      <c r="B77" s="10">
        <v>27205</v>
      </c>
      <c r="C77" s="8" t="s">
        <v>174</v>
      </c>
      <c r="D77" s="53"/>
      <c r="E77" s="53"/>
      <c r="G77"/>
      <c r="H77"/>
      <c r="I77"/>
    </row>
    <row r="78" spans="1:9" s="1" customFormat="1" ht="18" customHeight="1" x14ac:dyDescent="0.25">
      <c r="A78" s="10" t="s">
        <v>175</v>
      </c>
      <c r="B78" s="10">
        <v>27206</v>
      </c>
      <c r="C78" s="8" t="s">
        <v>176</v>
      </c>
      <c r="D78" s="53">
        <v>193812.97</v>
      </c>
      <c r="E78" s="53"/>
      <c r="G78"/>
      <c r="H78"/>
      <c r="I78"/>
    </row>
    <row r="79" spans="1:9" s="1" customFormat="1" ht="18" customHeight="1" x14ac:dyDescent="0.25">
      <c r="A79" s="10"/>
      <c r="B79" s="10">
        <v>27207</v>
      </c>
      <c r="C79" s="8" t="s">
        <v>389</v>
      </c>
      <c r="D79" s="53">
        <v>348159</v>
      </c>
      <c r="E79" s="53"/>
      <c r="G79"/>
      <c r="H79"/>
      <c r="I79"/>
    </row>
    <row r="80" spans="1:9" s="1" customFormat="1" ht="18" customHeight="1" x14ac:dyDescent="0.25">
      <c r="A80" s="10"/>
      <c r="B80" s="10">
        <v>27208</v>
      </c>
      <c r="C80" s="8" t="s">
        <v>177</v>
      </c>
      <c r="D80" s="53">
        <v>602419.6</v>
      </c>
      <c r="E80" s="53"/>
      <c r="G80"/>
      <c r="H80"/>
      <c r="I80"/>
    </row>
    <row r="81" spans="1:9" s="1" customFormat="1" ht="18" customHeight="1" x14ac:dyDescent="0.25">
      <c r="A81" s="10" t="s">
        <v>178</v>
      </c>
      <c r="B81" s="10">
        <v>28201</v>
      </c>
      <c r="C81" s="8" t="s">
        <v>179</v>
      </c>
      <c r="D81" s="53"/>
      <c r="E81" s="53"/>
      <c r="G81"/>
      <c r="H81"/>
      <c r="I81"/>
    </row>
    <row r="82" spans="1:9" s="1" customFormat="1" ht="18" customHeight="1" x14ac:dyDescent="0.25">
      <c r="A82" s="10"/>
      <c r="B82" s="10">
        <v>28301</v>
      </c>
      <c r="C82" s="8" t="s">
        <v>180</v>
      </c>
      <c r="D82" s="53"/>
      <c r="E82" s="53"/>
      <c r="G82"/>
      <c r="H82"/>
      <c r="I82"/>
    </row>
    <row r="83" spans="1:9" s="1" customFormat="1" ht="18" customHeight="1" x14ac:dyDescent="0.25">
      <c r="A83" s="10" t="s">
        <v>181</v>
      </c>
      <c r="B83" s="10">
        <v>28401</v>
      </c>
      <c r="C83" s="8" t="s">
        <v>182</v>
      </c>
      <c r="D83" s="53"/>
      <c r="E83" s="53"/>
      <c r="G83"/>
      <c r="H83"/>
      <c r="I83"/>
    </row>
    <row r="84" spans="1:9" s="1" customFormat="1" ht="18" customHeight="1" x14ac:dyDescent="0.25">
      <c r="A84" s="10" t="s">
        <v>183</v>
      </c>
      <c r="B84" s="10">
        <v>28501</v>
      </c>
      <c r="C84" s="8" t="s">
        <v>184</v>
      </c>
      <c r="D84" s="53">
        <v>50800</v>
      </c>
      <c r="E84" s="53"/>
      <c r="G84"/>
      <c r="H84"/>
      <c r="I84"/>
    </row>
    <row r="85" spans="1:9" s="1" customFormat="1" ht="18" customHeight="1" x14ac:dyDescent="0.25">
      <c r="A85" s="10" t="s">
        <v>185</v>
      </c>
      <c r="B85" s="10">
        <v>28502</v>
      </c>
      <c r="C85" s="8" t="s">
        <v>186</v>
      </c>
      <c r="D85" s="53"/>
      <c r="E85" s="53"/>
      <c r="G85"/>
      <c r="H85"/>
      <c r="I85"/>
    </row>
    <row r="86" spans="1:9" s="1" customFormat="1" ht="18" customHeight="1" x14ac:dyDescent="0.25">
      <c r="A86" s="10" t="s">
        <v>187</v>
      </c>
      <c r="B86" s="10">
        <v>28503</v>
      </c>
      <c r="C86" s="8" t="s">
        <v>188</v>
      </c>
      <c r="D86" s="53">
        <v>63330.6</v>
      </c>
      <c r="E86" s="53"/>
      <c r="G86"/>
      <c r="H86"/>
      <c r="I86"/>
    </row>
    <row r="87" spans="1:9" s="1" customFormat="1" ht="18" customHeight="1" x14ac:dyDescent="0.25">
      <c r="A87" s="10" t="s">
        <v>189</v>
      </c>
      <c r="B87" s="10">
        <v>28601</v>
      </c>
      <c r="C87" s="8" t="s">
        <v>190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28602</v>
      </c>
      <c r="C88" s="8" t="s">
        <v>191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28701</v>
      </c>
      <c r="C89" s="8" t="s">
        <v>192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28702</v>
      </c>
      <c r="C90" s="8" t="s">
        <v>193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28704</v>
      </c>
      <c r="C91" s="8" t="s">
        <v>194</v>
      </c>
      <c r="D91" s="53">
        <v>681379.16</v>
      </c>
      <c r="E91" s="53"/>
      <c r="G91"/>
      <c r="H91"/>
      <c r="I91"/>
    </row>
    <row r="92" spans="1:9" s="1" customFormat="1" ht="18" customHeight="1" x14ac:dyDescent="0.25">
      <c r="A92" s="10"/>
      <c r="B92" s="10">
        <v>28705</v>
      </c>
      <c r="C92" s="8" t="s">
        <v>195</v>
      </c>
      <c r="D92" s="53"/>
      <c r="E92" s="53"/>
      <c r="G92"/>
      <c r="H92"/>
      <c r="I92"/>
    </row>
    <row r="93" spans="1:9" s="1" customFormat="1" ht="18" customHeight="1" x14ac:dyDescent="0.25">
      <c r="A93" s="10" t="s">
        <v>196</v>
      </c>
      <c r="B93" s="10">
        <v>28706</v>
      </c>
      <c r="C93" s="8" t="s">
        <v>197</v>
      </c>
      <c r="D93" s="53">
        <f>40000+795.6</f>
        <v>40795.599999999999</v>
      </c>
      <c r="E93" s="53"/>
      <c r="G93"/>
      <c r="H93"/>
      <c r="I93"/>
    </row>
    <row r="94" spans="1:9" s="1" customFormat="1" ht="18" customHeight="1" x14ac:dyDescent="0.25">
      <c r="A94" s="10" t="s">
        <v>198</v>
      </c>
      <c r="B94" s="10">
        <v>28801</v>
      </c>
      <c r="C94" s="8" t="s">
        <v>199</v>
      </c>
      <c r="D94" s="53">
        <v>2736</v>
      </c>
      <c r="E94" s="53"/>
      <c r="G94"/>
      <c r="H94"/>
      <c r="I94"/>
    </row>
    <row r="95" spans="1:9" s="1" customFormat="1" ht="18" customHeight="1" x14ac:dyDescent="0.25">
      <c r="A95" s="10"/>
      <c r="B95" s="10">
        <v>28802</v>
      </c>
      <c r="C95" s="8" t="s">
        <v>373</v>
      </c>
      <c r="D95" s="53"/>
      <c r="E95" s="53"/>
      <c r="G95"/>
      <c r="H95"/>
      <c r="I95"/>
    </row>
    <row r="96" spans="1:9" s="1" customFormat="1" ht="18" customHeight="1" x14ac:dyDescent="0.25">
      <c r="A96" s="10"/>
      <c r="B96" s="10">
        <v>28803</v>
      </c>
      <c r="C96" s="8" t="s">
        <v>374</v>
      </c>
      <c r="D96" s="53">
        <v>8707.25</v>
      </c>
      <c r="E96" s="53"/>
      <c r="G96"/>
      <c r="H96"/>
      <c r="I96"/>
    </row>
    <row r="97" spans="1:9" s="1" customFormat="1" ht="18" customHeight="1" x14ac:dyDescent="0.25">
      <c r="A97" s="10"/>
      <c r="B97" s="10">
        <v>28804</v>
      </c>
      <c r="C97" s="8" t="s">
        <v>375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28904</v>
      </c>
      <c r="C98" s="8" t="s">
        <v>361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29101</v>
      </c>
      <c r="C99" s="8" t="s">
        <v>201</v>
      </c>
      <c r="D99" s="53"/>
      <c r="E99" s="53"/>
      <c r="G99"/>
      <c r="H99"/>
      <c r="I99"/>
    </row>
    <row r="100" spans="1:9" s="1" customFormat="1" ht="18" customHeight="1" x14ac:dyDescent="0.25">
      <c r="A100" s="10"/>
      <c r="B100" s="10">
        <v>29201</v>
      </c>
      <c r="C100" s="8" t="s">
        <v>202</v>
      </c>
      <c r="D100" s="53">
        <v>3059321.1</v>
      </c>
      <c r="E100" s="53"/>
      <c r="G100"/>
      <c r="H100"/>
      <c r="I100"/>
    </row>
    <row r="101" spans="1:9" s="1" customFormat="1" ht="18" customHeight="1" x14ac:dyDescent="0.25">
      <c r="A101" s="10"/>
      <c r="B101" s="10">
        <v>29203</v>
      </c>
      <c r="C101" s="8" t="s">
        <v>362</v>
      </c>
      <c r="D101" s="53"/>
      <c r="E101" s="53"/>
      <c r="G101"/>
      <c r="H101"/>
      <c r="I101"/>
    </row>
    <row r="102" spans="1:9" s="1" customFormat="1" ht="18" customHeight="1" x14ac:dyDescent="0.25">
      <c r="A102" s="51"/>
      <c r="B102" s="69">
        <v>3</v>
      </c>
      <c r="C102" s="63" t="s">
        <v>203</v>
      </c>
      <c r="D102" s="57">
        <f>SUM(D103:D155)</f>
        <v>1075803.21</v>
      </c>
      <c r="E102" s="57"/>
      <c r="G102"/>
      <c r="H102"/>
      <c r="I102"/>
    </row>
    <row r="103" spans="1:9" s="1" customFormat="1" ht="18" customHeight="1" x14ac:dyDescent="0.25">
      <c r="A103" s="10" t="s">
        <v>204</v>
      </c>
      <c r="B103" s="10">
        <v>31101</v>
      </c>
      <c r="C103" s="8" t="s">
        <v>205</v>
      </c>
      <c r="D103" s="53">
        <f>222324.96+90338.69</f>
        <v>312663.65000000002</v>
      </c>
      <c r="E103" s="53"/>
      <c r="G103"/>
      <c r="H103"/>
      <c r="I103"/>
    </row>
    <row r="104" spans="1:9" s="1" customFormat="1" ht="18" customHeight="1" x14ac:dyDescent="0.25">
      <c r="A104" s="10" t="s">
        <v>206</v>
      </c>
      <c r="B104" s="10">
        <v>31303</v>
      </c>
      <c r="C104" s="8" t="s">
        <v>207</v>
      </c>
      <c r="D104" s="53">
        <v>233463</v>
      </c>
      <c r="E104" s="53"/>
      <c r="G104"/>
      <c r="H104"/>
      <c r="I104"/>
    </row>
    <row r="105" spans="1:9" s="1" customFormat="1" ht="18" customHeight="1" x14ac:dyDescent="0.25">
      <c r="A105" s="10" t="s">
        <v>208</v>
      </c>
      <c r="B105" s="10">
        <v>31401</v>
      </c>
      <c r="C105" s="8" t="s">
        <v>209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210</v>
      </c>
      <c r="B106" s="10">
        <v>32101</v>
      </c>
      <c r="C106" s="8" t="s">
        <v>211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212</v>
      </c>
      <c r="B107" s="10">
        <v>32201</v>
      </c>
      <c r="C107" s="8" t="s">
        <v>213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214</v>
      </c>
      <c r="B108" s="10">
        <v>32301</v>
      </c>
      <c r="C108" s="8" t="s">
        <v>215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216</v>
      </c>
      <c r="B109" s="10">
        <v>32401</v>
      </c>
      <c r="C109" s="8" t="s">
        <v>217</v>
      </c>
      <c r="D109" s="53"/>
      <c r="E109" s="53"/>
      <c r="G109"/>
      <c r="H109"/>
      <c r="I109"/>
    </row>
    <row r="110" spans="1:9" s="1" customFormat="1" ht="18" customHeight="1" x14ac:dyDescent="0.25">
      <c r="A110" s="10" t="s">
        <v>218</v>
      </c>
      <c r="B110" s="10">
        <v>33101</v>
      </c>
      <c r="C110" s="8" t="s">
        <v>219</v>
      </c>
      <c r="D110" s="53">
        <v>2300</v>
      </c>
      <c r="E110" s="53"/>
      <c r="G110"/>
      <c r="H110"/>
      <c r="I110"/>
    </row>
    <row r="111" spans="1:9" s="1" customFormat="1" ht="18" customHeight="1" x14ac:dyDescent="0.25">
      <c r="A111" s="10" t="s">
        <v>220</v>
      </c>
      <c r="B111" s="10">
        <v>33201</v>
      </c>
      <c r="C111" s="8" t="s">
        <v>221</v>
      </c>
      <c r="D111" s="53">
        <f>25641.4+3827.25</f>
        <v>29468.65</v>
      </c>
      <c r="E111" s="53"/>
      <c r="G111"/>
      <c r="H111"/>
      <c r="I111"/>
    </row>
    <row r="112" spans="1:9" s="1" customFormat="1" ht="18" customHeight="1" x14ac:dyDescent="0.25">
      <c r="A112" s="10" t="s">
        <v>222</v>
      </c>
      <c r="B112" s="10">
        <v>33301</v>
      </c>
      <c r="C112" s="8" t="s">
        <v>223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224</v>
      </c>
      <c r="B113" s="10">
        <v>33401</v>
      </c>
      <c r="C113" s="8" t="s">
        <v>225</v>
      </c>
      <c r="D113" s="53"/>
      <c r="E113" s="53"/>
      <c r="G113"/>
      <c r="H113"/>
      <c r="I113"/>
    </row>
    <row r="114" spans="1:9" s="1" customFormat="1" ht="18" customHeight="1" x14ac:dyDescent="0.25">
      <c r="A114" s="10" t="s">
        <v>226</v>
      </c>
      <c r="B114" s="10">
        <v>33601</v>
      </c>
      <c r="C114" s="8" t="s">
        <v>227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34101</v>
      </c>
      <c r="C115" s="8" t="s">
        <v>229</v>
      </c>
      <c r="D115" s="53">
        <v>147</v>
      </c>
      <c r="E115" s="53"/>
      <c r="G115"/>
      <c r="H115"/>
      <c r="I115"/>
    </row>
    <row r="116" spans="1:9" s="1" customFormat="1" ht="18" customHeight="1" x14ac:dyDescent="0.25">
      <c r="A116" s="10" t="s">
        <v>230</v>
      </c>
      <c r="B116" s="10">
        <v>35101</v>
      </c>
      <c r="C116" s="8" t="s">
        <v>231</v>
      </c>
      <c r="D116" s="53"/>
      <c r="E116" s="53"/>
      <c r="G116"/>
      <c r="H116"/>
      <c r="I116"/>
    </row>
    <row r="117" spans="1:9" s="1" customFormat="1" ht="18" customHeight="1" x14ac:dyDescent="0.25">
      <c r="A117" s="10" t="s">
        <v>232</v>
      </c>
      <c r="B117" s="10">
        <v>35201</v>
      </c>
      <c r="C117" s="8" t="s">
        <v>233</v>
      </c>
      <c r="D117" s="53"/>
      <c r="E117" s="53"/>
      <c r="G117"/>
      <c r="H117"/>
      <c r="I117"/>
    </row>
    <row r="118" spans="1:9" ht="18" customHeight="1" x14ac:dyDescent="0.25">
      <c r="A118" s="10" t="s">
        <v>234</v>
      </c>
      <c r="B118" s="10">
        <v>35301</v>
      </c>
      <c r="C118" s="8" t="s">
        <v>235</v>
      </c>
      <c r="D118" s="53"/>
      <c r="E118" s="53"/>
    </row>
    <row r="119" spans="1:9" ht="18" customHeight="1" x14ac:dyDescent="0.25">
      <c r="A119" s="10" t="s">
        <v>236</v>
      </c>
      <c r="B119" s="10">
        <v>35401</v>
      </c>
      <c r="C119" s="8" t="s">
        <v>237</v>
      </c>
      <c r="D119" s="53"/>
      <c r="E119" s="53"/>
    </row>
    <row r="120" spans="1:9" ht="18" customHeight="1" x14ac:dyDescent="0.25">
      <c r="A120" s="10" t="s">
        <v>238</v>
      </c>
      <c r="B120" s="10">
        <v>35501</v>
      </c>
      <c r="C120" s="8" t="s">
        <v>239</v>
      </c>
      <c r="D120" s="53">
        <f>21240+16086.94</f>
        <v>37326.94</v>
      </c>
      <c r="E120" s="53"/>
    </row>
    <row r="121" spans="1:9" ht="18" customHeight="1" x14ac:dyDescent="0.25">
      <c r="A121" s="10" t="s">
        <v>240</v>
      </c>
      <c r="B121" s="10">
        <v>36101</v>
      </c>
      <c r="C121" s="8" t="s">
        <v>241</v>
      </c>
      <c r="D121" s="53">
        <v>35</v>
      </c>
      <c r="E121" s="53"/>
    </row>
    <row r="122" spans="1:9" ht="18" customHeight="1" x14ac:dyDescent="0.25">
      <c r="A122" s="10"/>
      <c r="B122" s="10">
        <v>36102</v>
      </c>
      <c r="C122" s="8" t="s">
        <v>242</v>
      </c>
      <c r="D122" s="53"/>
      <c r="E122" s="53"/>
    </row>
    <row r="123" spans="1:9" ht="18" customHeight="1" x14ac:dyDescent="0.25">
      <c r="A123" s="10" t="s">
        <v>243</v>
      </c>
      <c r="B123" s="10">
        <v>36104</v>
      </c>
      <c r="C123" s="8" t="s">
        <v>244</v>
      </c>
      <c r="D123" s="53"/>
      <c r="E123" s="53"/>
    </row>
    <row r="124" spans="1:9" ht="18" customHeight="1" x14ac:dyDescent="0.25">
      <c r="A124" s="10" t="s">
        <v>245</v>
      </c>
      <c r="B124" s="10">
        <v>36201</v>
      </c>
      <c r="C124" s="8" t="s">
        <v>246</v>
      </c>
      <c r="D124" s="53">
        <v>497</v>
      </c>
      <c r="E124" s="53"/>
    </row>
    <row r="125" spans="1:9" ht="18" customHeight="1" x14ac:dyDescent="0.25">
      <c r="A125" s="10" t="s">
        <v>247</v>
      </c>
      <c r="B125" s="10">
        <v>36202</v>
      </c>
      <c r="C125" s="8" t="s">
        <v>248</v>
      </c>
      <c r="D125" s="53"/>
      <c r="E125" s="53"/>
    </row>
    <row r="126" spans="1:9" ht="18" customHeight="1" x14ac:dyDescent="0.25">
      <c r="A126" s="10" t="s">
        <v>249</v>
      </c>
      <c r="B126" s="10">
        <v>36203</v>
      </c>
      <c r="C126" s="8" t="s">
        <v>250</v>
      </c>
      <c r="D126" s="53"/>
      <c r="E126" s="53"/>
    </row>
    <row r="127" spans="1:9" ht="18" customHeight="1" x14ac:dyDescent="0.25">
      <c r="A127" s="10" t="s">
        <v>251</v>
      </c>
      <c r="B127" s="10">
        <v>36301</v>
      </c>
      <c r="C127" s="8" t="s">
        <v>252</v>
      </c>
      <c r="D127" s="53"/>
      <c r="E127" s="53"/>
    </row>
    <row r="128" spans="1:9" ht="18" customHeight="1" x14ac:dyDescent="0.25">
      <c r="A128" s="10"/>
      <c r="B128" s="10">
        <v>36302</v>
      </c>
      <c r="C128" s="8" t="s">
        <v>248</v>
      </c>
      <c r="D128" s="53"/>
      <c r="E128" s="53"/>
    </row>
    <row r="129" spans="1:9" ht="18" customHeight="1" x14ac:dyDescent="0.25">
      <c r="A129" s="10" t="s">
        <v>253</v>
      </c>
      <c r="B129" s="10">
        <v>36303</v>
      </c>
      <c r="C129" s="8" t="s">
        <v>254</v>
      </c>
      <c r="D129" s="53"/>
      <c r="E129" s="53"/>
    </row>
    <row r="130" spans="1:9" ht="18" customHeight="1" x14ac:dyDescent="0.25">
      <c r="A130" s="10" t="s">
        <v>255</v>
      </c>
      <c r="B130" s="10">
        <v>36304</v>
      </c>
      <c r="C130" s="8" t="s">
        <v>256</v>
      </c>
      <c r="D130" s="53">
        <v>65</v>
      </c>
      <c r="E130" s="53"/>
    </row>
    <row r="131" spans="1:9" s="1" customFormat="1" ht="18" customHeight="1" x14ac:dyDescent="0.25">
      <c r="A131" s="10" t="s">
        <v>255</v>
      </c>
      <c r="B131" s="10">
        <v>36306</v>
      </c>
      <c r="C131" s="8" t="s">
        <v>257</v>
      </c>
      <c r="D131" s="53">
        <v>374.98</v>
      </c>
      <c r="E131" s="53"/>
      <c r="G131"/>
      <c r="H131"/>
      <c r="I131"/>
    </row>
    <row r="132" spans="1:9" s="1" customFormat="1" ht="18" customHeight="1" x14ac:dyDescent="0.25">
      <c r="A132" s="10"/>
      <c r="B132" s="51">
        <v>36307</v>
      </c>
      <c r="C132" s="52" t="s">
        <v>258</v>
      </c>
      <c r="D132" s="53"/>
      <c r="E132" s="53"/>
      <c r="G132"/>
      <c r="H132"/>
      <c r="I132"/>
    </row>
    <row r="133" spans="1:9" s="1" customFormat="1" ht="18" customHeight="1" x14ac:dyDescent="0.25">
      <c r="A133" s="10"/>
      <c r="B133" s="51">
        <v>36401</v>
      </c>
      <c r="C133" s="52" t="s">
        <v>364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243</v>
      </c>
      <c r="B134" s="51">
        <v>36403</v>
      </c>
      <c r="C134" s="52" t="s">
        <v>259</v>
      </c>
      <c r="D134" s="53"/>
      <c r="E134" s="53"/>
      <c r="G134"/>
      <c r="H134"/>
      <c r="I134"/>
    </row>
    <row r="135" spans="1:9" s="1" customFormat="1" ht="18" customHeight="1" x14ac:dyDescent="0.25">
      <c r="A135" s="10" t="s">
        <v>260</v>
      </c>
      <c r="B135" s="51">
        <v>37101</v>
      </c>
      <c r="C135" s="52" t="s">
        <v>261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262</v>
      </c>
      <c r="B136" s="51">
        <v>37102</v>
      </c>
      <c r="C136" s="52" t="s">
        <v>263</v>
      </c>
      <c r="D136" s="53">
        <v>41165.410000000003</v>
      </c>
      <c r="E136" s="53"/>
      <c r="G136"/>
      <c r="H136"/>
      <c r="I136"/>
    </row>
    <row r="137" spans="1:9" s="1" customFormat="1" ht="18" customHeight="1" x14ac:dyDescent="0.25">
      <c r="A137" s="10" t="s">
        <v>264</v>
      </c>
      <c r="B137" s="51">
        <v>37104</v>
      </c>
      <c r="C137" s="52" t="s">
        <v>265</v>
      </c>
      <c r="D137" s="53">
        <v>1800</v>
      </c>
      <c r="E137" s="53"/>
      <c r="G137"/>
      <c r="H137"/>
      <c r="I137"/>
    </row>
    <row r="138" spans="1:9" s="1" customFormat="1" ht="18" customHeight="1" x14ac:dyDescent="0.25">
      <c r="A138" s="10" t="s">
        <v>266</v>
      </c>
      <c r="B138" s="51">
        <v>37105</v>
      </c>
      <c r="C138" s="52" t="s">
        <v>267</v>
      </c>
      <c r="D138" s="53"/>
      <c r="E138" s="53"/>
      <c r="G138"/>
      <c r="H138"/>
      <c r="I138"/>
    </row>
    <row r="139" spans="1:9" s="1" customFormat="1" ht="18" customHeight="1" x14ac:dyDescent="0.25">
      <c r="A139" s="10" t="s">
        <v>268</v>
      </c>
      <c r="B139" s="51">
        <v>37106</v>
      </c>
      <c r="C139" s="52" t="s">
        <v>269</v>
      </c>
      <c r="D139" s="53"/>
      <c r="E139" s="53"/>
      <c r="G139"/>
      <c r="H139"/>
      <c r="I139"/>
    </row>
    <row r="140" spans="1:9" s="1" customFormat="1" ht="18" customHeight="1" x14ac:dyDescent="0.25">
      <c r="A140" s="10"/>
      <c r="B140" s="51">
        <v>37201</v>
      </c>
      <c r="C140" s="52" t="s">
        <v>270</v>
      </c>
      <c r="D140" s="53"/>
      <c r="E140" s="53"/>
      <c r="G140"/>
      <c r="H140"/>
      <c r="I140"/>
    </row>
    <row r="141" spans="1:9" s="1" customFormat="1" ht="18" customHeight="1" x14ac:dyDescent="0.25">
      <c r="A141" s="10" t="s">
        <v>271</v>
      </c>
      <c r="B141" s="10">
        <v>37203</v>
      </c>
      <c r="C141" s="8" t="s">
        <v>272</v>
      </c>
      <c r="D141" s="53">
        <v>12832.5</v>
      </c>
      <c r="E141" s="53"/>
      <c r="G141"/>
      <c r="H141"/>
      <c r="I141"/>
    </row>
    <row r="142" spans="1:9" s="1" customFormat="1" ht="18" customHeight="1" x14ac:dyDescent="0.25">
      <c r="A142" s="10" t="s">
        <v>273</v>
      </c>
      <c r="B142" s="10">
        <v>37205</v>
      </c>
      <c r="C142" s="8" t="s">
        <v>274</v>
      </c>
      <c r="D142" s="53"/>
      <c r="E142" s="53"/>
      <c r="G142"/>
      <c r="H142"/>
      <c r="I142"/>
    </row>
    <row r="143" spans="1:9" s="1" customFormat="1" ht="18" customHeight="1" x14ac:dyDescent="0.25">
      <c r="A143" s="10" t="s">
        <v>275</v>
      </c>
      <c r="B143" s="10">
        <v>37206</v>
      </c>
      <c r="C143" s="8" t="s">
        <v>276</v>
      </c>
      <c r="D143" s="53"/>
      <c r="E143" s="53"/>
      <c r="G143"/>
      <c r="H143"/>
      <c r="I143"/>
    </row>
    <row r="144" spans="1:9" s="1" customFormat="1" ht="18" customHeight="1" x14ac:dyDescent="0.25">
      <c r="A144" s="10"/>
      <c r="B144" s="51">
        <v>37299</v>
      </c>
      <c r="C144" s="52" t="s">
        <v>277</v>
      </c>
      <c r="D144" s="53"/>
      <c r="E144" s="53"/>
      <c r="G144"/>
      <c r="H144"/>
      <c r="I144"/>
    </row>
    <row r="145" spans="1:9" s="1" customFormat="1" ht="18" customHeight="1" x14ac:dyDescent="0.25">
      <c r="A145" s="10" t="s">
        <v>278</v>
      </c>
      <c r="B145" s="51">
        <v>39101</v>
      </c>
      <c r="C145" s="52" t="s">
        <v>279</v>
      </c>
      <c r="D145" s="53">
        <f>173979.2+2022.65</f>
        <v>176001.85</v>
      </c>
      <c r="E145" s="53"/>
      <c r="G145"/>
      <c r="H145"/>
      <c r="I145"/>
    </row>
    <row r="146" spans="1:9" s="1" customFormat="1" ht="18" customHeight="1" x14ac:dyDescent="0.25">
      <c r="A146" s="10" t="s">
        <v>280</v>
      </c>
      <c r="B146" s="51">
        <v>39201</v>
      </c>
      <c r="C146" s="52" t="s">
        <v>281</v>
      </c>
      <c r="D146" s="53">
        <f>56867.74+1115</f>
        <v>57982.74</v>
      </c>
      <c r="E146" s="53"/>
      <c r="G146"/>
      <c r="H146"/>
      <c r="I146"/>
    </row>
    <row r="147" spans="1:9" s="1" customFormat="1" ht="18" customHeight="1" x14ac:dyDescent="0.25">
      <c r="A147" s="10"/>
      <c r="B147" s="51">
        <v>39301</v>
      </c>
      <c r="C147" s="52" t="s">
        <v>282</v>
      </c>
      <c r="D147" s="53"/>
      <c r="E147" s="53"/>
      <c r="G147"/>
      <c r="H147"/>
      <c r="I147"/>
    </row>
    <row r="148" spans="1:9" s="1" customFormat="1" ht="18" customHeight="1" x14ac:dyDescent="0.25">
      <c r="A148" s="10" t="s">
        <v>283</v>
      </c>
      <c r="B148" s="51">
        <v>39501</v>
      </c>
      <c r="C148" s="52" t="s">
        <v>284</v>
      </c>
      <c r="D148" s="53">
        <f>140266.6+485</f>
        <v>140751.6</v>
      </c>
      <c r="E148" s="53"/>
      <c r="G148"/>
      <c r="H148"/>
      <c r="I148"/>
    </row>
    <row r="149" spans="1:9" s="1" customFormat="1" ht="18" customHeight="1" x14ac:dyDescent="0.25">
      <c r="A149" s="10" t="s">
        <v>285</v>
      </c>
      <c r="B149" s="10">
        <v>39601</v>
      </c>
      <c r="C149" s="8" t="s">
        <v>286</v>
      </c>
      <c r="D149" s="53">
        <v>1072.9000000000001</v>
      </c>
      <c r="E149" s="53"/>
      <c r="G149"/>
      <c r="H149"/>
      <c r="I149"/>
    </row>
    <row r="150" spans="1:9" s="1" customFormat="1" ht="18" customHeight="1" x14ac:dyDescent="0.25">
      <c r="A150" s="10" t="s">
        <v>287</v>
      </c>
      <c r="B150" s="10">
        <v>39801</v>
      </c>
      <c r="C150" s="8" t="s">
        <v>288</v>
      </c>
      <c r="D150" s="53"/>
      <c r="E150" s="53"/>
      <c r="G150"/>
      <c r="H150"/>
      <c r="I150"/>
    </row>
    <row r="151" spans="1:9" s="1" customFormat="1" ht="18" customHeight="1" x14ac:dyDescent="0.25">
      <c r="A151" s="10"/>
      <c r="B151" s="10">
        <v>39802</v>
      </c>
      <c r="C151" s="8" t="s">
        <v>353</v>
      </c>
      <c r="D151" s="53"/>
      <c r="E151" s="53"/>
      <c r="G151"/>
      <c r="H151"/>
      <c r="I151"/>
    </row>
    <row r="152" spans="1:9" s="1" customFormat="1" ht="18" customHeight="1" x14ac:dyDescent="0.25">
      <c r="A152" s="10" t="s">
        <v>289</v>
      </c>
      <c r="B152" s="10">
        <v>39901</v>
      </c>
      <c r="C152" s="8" t="s">
        <v>290</v>
      </c>
      <c r="D152" s="53">
        <v>12654.99</v>
      </c>
      <c r="E152" s="53"/>
      <c r="G152"/>
      <c r="H152"/>
      <c r="I152"/>
    </row>
    <row r="153" spans="1:9" s="1" customFormat="1" ht="18" customHeight="1" x14ac:dyDescent="0.25">
      <c r="A153" s="10" t="s">
        <v>289</v>
      </c>
      <c r="B153" s="10">
        <v>39902</v>
      </c>
      <c r="C153" s="8" t="s">
        <v>291</v>
      </c>
      <c r="D153" s="53"/>
      <c r="E153" s="53"/>
      <c r="G153"/>
      <c r="H153"/>
      <c r="I153"/>
    </row>
    <row r="154" spans="1:9" s="1" customFormat="1" ht="18" customHeight="1" x14ac:dyDescent="0.25">
      <c r="A154" s="10"/>
      <c r="B154" s="10">
        <v>39904</v>
      </c>
      <c r="C154" s="8" t="s">
        <v>292</v>
      </c>
      <c r="D154" s="53">
        <v>15200</v>
      </c>
      <c r="E154" s="53"/>
      <c r="G154"/>
      <c r="H154"/>
      <c r="I154"/>
    </row>
    <row r="155" spans="1:9" s="1" customFormat="1" ht="18" customHeight="1" x14ac:dyDescent="0.25">
      <c r="A155" s="10"/>
      <c r="B155" s="10">
        <v>39905</v>
      </c>
      <c r="C155" s="8" t="s">
        <v>293</v>
      </c>
      <c r="D155" s="53"/>
      <c r="E155" s="53"/>
      <c r="G155"/>
      <c r="H155"/>
      <c r="I155"/>
    </row>
    <row r="156" spans="1:9" s="1" customFormat="1" ht="18" customHeight="1" x14ac:dyDescent="0.25">
      <c r="A156" s="51"/>
      <c r="B156" s="69">
        <v>4</v>
      </c>
      <c r="C156" s="63" t="s">
        <v>294</v>
      </c>
      <c r="D156" s="57">
        <f>SUM(D157:D177)</f>
        <v>0</v>
      </c>
      <c r="E156" s="57"/>
      <c r="G156"/>
      <c r="H156"/>
      <c r="I156"/>
    </row>
    <row r="157" spans="1:9" s="1" customFormat="1" ht="18" customHeight="1" x14ac:dyDescent="0.25">
      <c r="A157" s="10" t="s">
        <v>295</v>
      </c>
      <c r="B157" s="10">
        <v>41103</v>
      </c>
      <c r="C157" s="8" t="s">
        <v>296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297</v>
      </c>
      <c r="B158" s="10">
        <v>41201</v>
      </c>
      <c r="C158" s="8" t="s">
        <v>298</v>
      </c>
      <c r="D158" s="53"/>
      <c r="E158" s="53"/>
      <c r="G158"/>
      <c r="H158"/>
      <c r="I158"/>
    </row>
    <row r="159" spans="1:9" s="1" customFormat="1" ht="18" customHeight="1" x14ac:dyDescent="0.25">
      <c r="A159" s="10" t="s">
        <v>299</v>
      </c>
      <c r="B159" s="10">
        <v>41202</v>
      </c>
      <c r="C159" s="8" t="s">
        <v>300</v>
      </c>
      <c r="D159" s="53"/>
      <c r="E159" s="53"/>
      <c r="G159"/>
      <c r="H159"/>
      <c r="I159"/>
    </row>
    <row r="160" spans="1:9" s="1" customFormat="1" ht="18" customHeight="1" x14ac:dyDescent="0.25">
      <c r="A160" s="10"/>
      <c r="B160" s="10">
        <v>41401</v>
      </c>
      <c r="C160" s="8" t="s">
        <v>301</v>
      </c>
      <c r="D160" s="9"/>
      <c r="E160" s="9"/>
      <c r="G160"/>
      <c r="H160"/>
      <c r="I160"/>
    </row>
    <row r="161" spans="1:9" s="1" customFormat="1" ht="18" customHeight="1" x14ac:dyDescent="0.25">
      <c r="A161" s="10" t="s">
        <v>302</v>
      </c>
      <c r="B161" s="10">
        <v>41402</v>
      </c>
      <c r="C161" s="8" t="s">
        <v>303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41501</v>
      </c>
      <c r="C162" s="8" t="s">
        <v>304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41601</v>
      </c>
      <c r="C163" s="8" t="s">
        <v>305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41605</v>
      </c>
      <c r="C164" s="8" t="s">
        <v>306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421105</v>
      </c>
      <c r="C165" s="8" t="s">
        <v>307</v>
      </c>
      <c r="D165" s="9"/>
      <c r="E165" s="9"/>
      <c r="G165"/>
      <c r="H165"/>
      <c r="I165"/>
    </row>
    <row r="166" spans="1:9" s="1" customFormat="1" ht="18" customHeight="1" x14ac:dyDescent="0.25">
      <c r="A166" s="10"/>
      <c r="B166" s="10">
        <v>421903</v>
      </c>
      <c r="C166" s="8" t="s">
        <v>308</v>
      </c>
      <c r="D166" s="9"/>
      <c r="E166" s="9"/>
      <c r="G166"/>
      <c r="H166"/>
      <c r="I166"/>
    </row>
    <row r="167" spans="1:9" s="1" customFormat="1" ht="18" customHeight="1" x14ac:dyDescent="0.25">
      <c r="A167" s="10" t="s">
        <v>309</v>
      </c>
      <c r="B167" s="10">
        <v>44102</v>
      </c>
      <c r="C167" s="8" t="s">
        <v>310</v>
      </c>
      <c r="D167" s="9"/>
      <c r="E167" s="9"/>
      <c r="G167"/>
      <c r="H167"/>
      <c r="I167"/>
    </row>
    <row r="168" spans="1:9" s="1" customFormat="1" ht="18" customHeight="1" x14ac:dyDescent="0.25">
      <c r="A168" s="51"/>
      <c r="B168" s="51">
        <v>62501</v>
      </c>
      <c r="C168" s="52" t="s">
        <v>311</v>
      </c>
      <c r="D168" s="73"/>
      <c r="E168" s="68"/>
      <c r="G168"/>
      <c r="H168"/>
      <c r="I168"/>
    </row>
    <row r="169" spans="1:9" s="1" customFormat="1" ht="18" customHeight="1" x14ac:dyDescent="0.25">
      <c r="A169" s="51"/>
      <c r="B169" s="51" t="s">
        <v>358</v>
      </c>
      <c r="C169" s="52"/>
      <c r="D169" s="73"/>
      <c r="E169" s="68"/>
      <c r="G169"/>
      <c r="H169"/>
      <c r="I169"/>
    </row>
    <row r="170" spans="1:9" s="1" customFormat="1" ht="18" customHeight="1" x14ac:dyDescent="0.25">
      <c r="A170" s="10"/>
      <c r="B170" s="10"/>
      <c r="C170" s="8" t="s">
        <v>77</v>
      </c>
      <c r="D170" s="15"/>
      <c r="E170" s="68"/>
      <c r="G170"/>
      <c r="H170"/>
      <c r="I170"/>
    </row>
    <row r="171" spans="1:9" s="1" customFormat="1" ht="18" customHeight="1" x14ac:dyDescent="0.25">
      <c r="A171" s="10"/>
      <c r="B171" s="10" t="s">
        <v>314</v>
      </c>
      <c r="C171" s="8"/>
      <c r="D171" s="10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77</v>
      </c>
      <c r="D172" s="17"/>
      <c r="E172" s="68"/>
      <c r="G172"/>
      <c r="H172"/>
      <c r="I172"/>
    </row>
    <row r="173" spans="1:9" s="1" customFormat="1" ht="18" customHeight="1" x14ac:dyDescent="0.25">
      <c r="A173" s="10"/>
      <c r="B173" s="10"/>
      <c r="C173" s="8" t="s">
        <v>315</v>
      </c>
      <c r="D173" s="10"/>
      <c r="E173" s="17">
        <f>+D172</f>
        <v>0</v>
      </c>
      <c r="G173"/>
      <c r="H173"/>
      <c r="I173"/>
    </row>
    <row r="174" spans="1:9" s="1" customFormat="1" ht="18" customHeight="1" x14ac:dyDescent="0.25">
      <c r="A174" s="10"/>
      <c r="B174" s="10" t="s">
        <v>316</v>
      </c>
      <c r="C174" s="10"/>
      <c r="D174" s="10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42</v>
      </c>
      <c r="D175" s="17"/>
      <c r="E175" s="10"/>
      <c r="G175"/>
      <c r="H175"/>
      <c r="I175"/>
    </row>
    <row r="176" spans="1:9" s="1" customFormat="1" ht="18" customHeight="1" x14ac:dyDescent="0.25">
      <c r="A176" s="10"/>
      <c r="B176" s="10"/>
      <c r="C176" s="8" t="s">
        <v>315</v>
      </c>
      <c r="D176" s="10"/>
      <c r="E176" s="17">
        <f>+E173</f>
        <v>0</v>
      </c>
      <c r="G176"/>
      <c r="H176"/>
      <c r="I176"/>
    </row>
    <row r="177" spans="1:9" s="1" customFormat="1" ht="18" customHeight="1" x14ac:dyDescent="0.25">
      <c r="A177" s="10"/>
      <c r="B177" s="10" t="s">
        <v>317</v>
      </c>
      <c r="C177" s="10"/>
      <c r="D177" s="10"/>
      <c r="E177" s="10"/>
      <c r="G177"/>
      <c r="H177"/>
      <c r="I177"/>
    </row>
    <row r="178" spans="1:9" s="1" customFormat="1" x14ac:dyDescent="0.25">
      <c r="A178" s="51"/>
      <c r="B178" s="97" t="s">
        <v>318</v>
      </c>
      <c r="C178" s="98"/>
      <c r="D178" s="62">
        <f>+E15-E16</f>
        <v>590264643.22000003</v>
      </c>
      <c r="E178" s="62">
        <f>+E15-E16</f>
        <v>590264643.22000003</v>
      </c>
      <c r="G178"/>
      <c r="H178"/>
      <c r="I178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3" spans="1:9" s="1" customFormat="1" x14ac:dyDescent="0.25">
      <c r="A183"/>
      <c r="B183"/>
      <c r="C183"/>
      <c r="D183"/>
      <c r="E183" s="37"/>
      <c r="G183"/>
      <c r="H183"/>
      <c r="I183"/>
    </row>
    <row r="186" spans="1:9" s="1" customFormat="1" x14ac:dyDescent="0.25">
      <c r="A186" s="23" t="s">
        <v>319</v>
      </c>
      <c r="B186" s="23">
        <v>6</v>
      </c>
      <c r="C186" s="5" t="s">
        <v>320</v>
      </c>
      <c r="D186" s="12">
        <f>SUM(D187:D209)</f>
        <v>2106216.4500000002</v>
      </c>
      <c r="E186" s="19"/>
      <c r="G186"/>
      <c r="H186"/>
      <c r="I186"/>
    </row>
    <row r="187" spans="1:9" s="1" customFormat="1" x14ac:dyDescent="0.25">
      <c r="A187" s="26">
        <v>1206010007</v>
      </c>
      <c r="B187" s="10">
        <v>61101</v>
      </c>
      <c r="C187" s="8" t="s">
        <v>321</v>
      </c>
      <c r="D187" s="53"/>
      <c r="E187" s="20"/>
      <c r="G187"/>
      <c r="H187"/>
      <c r="I187"/>
    </row>
    <row r="188" spans="1:9" s="1" customFormat="1" x14ac:dyDescent="0.25">
      <c r="A188" s="26">
        <v>1206010004</v>
      </c>
      <c r="B188" s="10">
        <v>61301</v>
      </c>
      <c r="C188" s="8" t="s">
        <v>322</v>
      </c>
      <c r="D188" s="53"/>
      <c r="E188" s="20"/>
      <c r="G188"/>
      <c r="H188"/>
      <c r="I188"/>
    </row>
    <row r="189" spans="1:9" s="1" customFormat="1" x14ac:dyDescent="0.25">
      <c r="A189" s="26">
        <v>1206010007</v>
      </c>
      <c r="B189" s="10">
        <v>61401</v>
      </c>
      <c r="C189" s="8" t="s">
        <v>323</v>
      </c>
      <c r="D189" s="53">
        <v>213735.76</v>
      </c>
      <c r="E189" s="20"/>
      <c r="G189"/>
      <c r="H189"/>
      <c r="I189"/>
    </row>
    <row r="190" spans="1:9" s="1" customFormat="1" x14ac:dyDescent="0.25">
      <c r="A190" s="26">
        <v>1206010001</v>
      </c>
      <c r="B190" s="10">
        <v>61901</v>
      </c>
      <c r="C190" s="8" t="s">
        <v>324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62101</v>
      </c>
      <c r="C191" s="8" t="s">
        <v>325</v>
      </c>
      <c r="D191" s="53">
        <v>187209.36</v>
      </c>
      <c r="E191" s="20"/>
      <c r="G191"/>
      <c r="H191"/>
      <c r="I191"/>
    </row>
    <row r="192" spans="1:9" s="1" customFormat="1" x14ac:dyDescent="0.25">
      <c r="A192" s="26">
        <v>1206010002</v>
      </c>
      <c r="B192" s="10">
        <v>62301</v>
      </c>
      <c r="C192" s="8" t="s">
        <v>326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63201</v>
      </c>
      <c r="C193" s="8" t="s">
        <v>327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63401</v>
      </c>
      <c r="C194" s="8" t="s">
        <v>328</v>
      </c>
      <c r="D194" s="53"/>
      <c r="E194" s="20"/>
      <c r="G194"/>
      <c r="H194"/>
      <c r="I194"/>
    </row>
    <row r="195" spans="1:9" s="1" customFormat="1" x14ac:dyDescent="0.25">
      <c r="A195" s="26">
        <v>1206010003</v>
      </c>
      <c r="B195" s="10">
        <v>64101</v>
      </c>
      <c r="C195" s="8" t="s">
        <v>329</v>
      </c>
      <c r="D195" s="53"/>
      <c r="E195" s="20"/>
      <c r="G195"/>
      <c r="H195"/>
      <c r="I195"/>
    </row>
    <row r="196" spans="1:9" s="1" customFormat="1" x14ac:dyDescent="0.25">
      <c r="A196" s="26"/>
      <c r="B196" s="10">
        <v>64601</v>
      </c>
      <c r="C196" s="8" t="s">
        <v>330</v>
      </c>
      <c r="D196" s="53"/>
      <c r="E196" s="20"/>
      <c r="G196"/>
      <c r="H196"/>
      <c r="I196"/>
    </row>
    <row r="197" spans="1:9" s="1" customFormat="1" x14ac:dyDescent="0.25">
      <c r="A197" s="26"/>
      <c r="B197" s="51">
        <v>64701</v>
      </c>
      <c r="C197" s="52" t="s">
        <v>331</v>
      </c>
      <c r="D197" s="53"/>
      <c r="E197" s="20"/>
      <c r="G197"/>
      <c r="H197"/>
      <c r="I197"/>
    </row>
    <row r="198" spans="1:9" s="1" customFormat="1" x14ac:dyDescent="0.25">
      <c r="A198" s="26">
        <v>1206010003</v>
      </c>
      <c r="B198" s="51">
        <v>64801</v>
      </c>
      <c r="C198" s="52" t="s">
        <v>332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65201</v>
      </c>
      <c r="C199" s="8" t="s">
        <v>333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65401</v>
      </c>
      <c r="C200" s="8" t="s">
        <v>334</v>
      </c>
      <c r="D200" s="53">
        <v>1475000</v>
      </c>
      <c r="E200" s="20"/>
      <c r="G200"/>
      <c r="H200"/>
      <c r="I200"/>
    </row>
    <row r="201" spans="1:9" s="1" customFormat="1" x14ac:dyDescent="0.25">
      <c r="A201" s="26">
        <v>1206010006</v>
      </c>
      <c r="B201" s="10">
        <v>65501</v>
      </c>
      <c r="C201" s="8" t="s">
        <v>335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65601</v>
      </c>
      <c r="C202" s="8" t="s">
        <v>336</v>
      </c>
      <c r="D202" s="53">
        <v>196959.93</v>
      </c>
      <c r="E202" s="20"/>
      <c r="G202"/>
      <c r="H202"/>
      <c r="I202"/>
    </row>
    <row r="203" spans="1:9" s="1" customFormat="1" x14ac:dyDescent="0.25">
      <c r="A203" s="26">
        <v>1206010008</v>
      </c>
      <c r="B203" s="10">
        <v>65701</v>
      </c>
      <c r="C203" s="8" t="s">
        <v>337</v>
      </c>
      <c r="D203" s="53"/>
      <c r="E203" s="20"/>
      <c r="G203"/>
      <c r="H203"/>
      <c r="I203"/>
    </row>
    <row r="204" spans="1:9" s="1" customFormat="1" x14ac:dyDescent="0.25">
      <c r="A204" s="26">
        <v>1206010001</v>
      </c>
      <c r="B204" s="10">
        <v>65801</v>
      </c>
      <c r="C204" s="8" t="s">
        <v>338</v>
      </c>
      <c r="D204" s="53"/>
      <c r="E204" s="20"/>
      <c r="G204"/>
      <c r="H204"/>
      <c r="I204"/>
    </row>
    <row r="205" spans="1:9" s="1" customFormat="1" x14ac:dyDescent="0.25">
      <c r="A205" s="26">
        <v>1206980001</v>
      </c>
      <c r="B205" s="10">
        <v>66201</v>
      </c>
      <c r="C205" s="8" t="s">
        <v>339</v>
      </c>
      <c r="D205" s="53">
        <v>33311.4</v>
      </c>
      <c r="E205" s="20"/>
      <c r="G205"/>
      <c r="H205"/>
      <c r="I205"/>
    </row>
    <row r="206" spans="1:9" s="1" customFormat="1" x14ac:dyDescent="0.25">
      <c r="A206" s="26">
        <v>1208010003</v>
      </c>
      <c r="B206" s="10">
        <v>68301</v>
      </c>
      <c r="C206" s="8" t="s">
        <v>340</v>
      </c>
      <c r="D206" s="53"/>
      <c r="E206" s="20"/>
      <c r="G206"/>
      <c r="H206"/>
      <c r="I206"/>
    </row>
    <row r="207" spans="1:9" s="1" customFormat="1" x14ac:dyDescent="0.25">
      <c r="A207" s="26">
        <v>1206020002</v>
      </c>
      <c r="B207" s="10">
        <v>69201</v>
      </c>
      <c r="C207" s="8" t="s">
        <v>341</v>
      </c>
      <c r="D207" s="53"/>
      <c r="E207" s="20"/>
      <c r="G207"/>
      <c r="H207"/>
      <c r="I207"/>
    </row>
    <row r="208" spans="1:9" s="1" customFormat="1" x14ac:dyDescent="0.25">
      <c r="A208" s="26">
        <v>1206980004</v>
      </c>
      <c r="B208" s="10">
        <v>69502</v>
      </c>
      <c r="C208" s="8" t="s">
        <v>342</v>
      </c>
      <c r="D208" s="53"/>
      <c r="E208" s="20"/>
      <c r="G208"/>
      <c r="H208"/>
      <c r="I208"/>
    </row>
    <row r="209" spans="1:9" s="1" customFormat="1" ht="30" x14ac:dyDescent="0.25">
      <c r="A209" s="26"/>
      <c r="B209" s="10">
        <v>69601</v>
      </c>
      <c r="C209" s="8" t="s">
        <v>359</v>
      </c>
      <c r="D209" s="53"/>
      <c r="E209" s="20"/>
      <c r="G209"/>
      <c r="H209"/>
      <c r="I209"/>
    </row>
    <row r="210" spans="1:9" s="1" customFormat="1" x14ac:dyDescent="0.25">
      <c r="A210" s="27"/>
      <c r="B210" s="69">
        <v>7</v>
      </c>
      <c r="C210" s="63" t="s">
        <v>343</v>
      </c>
      <c r="D210" s="57">
        <f>SUM(D211:D212)</f>
        <v>954148.35</v>
      </c>
      <c r="E210" s="25"/>
      <c r="G210"/>
      <c r="H210"/>
      <c r="I210"/>
    </row>
    <row r="211" spans="1:9" s="1" customFormat="1" x14ac:dyDescent="0.25">
      <c r="A211" s="27" t="s">
        <v>344</v>
      </c>
      <c r="B211" s="10">
        <v>71201</v>
      </c>
      <c r="C211" s="8" t="s">
        <v>345</v>
      </c>
      <c r="D211" s="24">
        <v>954148.35</v>
      </c>
      <c r="E211" s="25"/>
      <c r="G211"/>
      <c r="H211"/>
      <c r="I211"/>
    </row>
    <row r="212" spans="1:9" s="1" customFormat="1" x14ac:dyDescent="0.25">
      <c r="A212" s="27" t="s">
        <v>346</v>
      </c>
      <c r="B212" s="10">
        <v>71501</v>
      </c>
      <c r="C212" s="8" t="s">
        <v>347</v>
      </c>
      <c r="D212" s="24"/>
      <c r="E212" s="25"/>
      <c r="G212"/>
      <c r="H212"/>
      <c r="I212"/>
    </row>
    <row r="213" spans="1:9" s="1" customFormat="1" x14ac:dyDescent="0.25">
      <c r="A213" s="72"/>
      <c r="B213" s="51"/>
      <c r="C213" s="52"/>
      <c r="D213" s="71">
        <f>+D186+D210</f>
        <v>3060364.8000000003</v>
      </c>
      <c r="E213" s="19"/>
      <c r="G213"/>
      <c r="H213"/>
      <c r="I213"/>
    </row>
    <row r="214" spans="1:9" s="1" customFormat="1" x14ac:dyDescent="0.25">
      <c r="A214" s="86"/>
      <c r="B214" s="61"/>
      <c r="C214" s="87"/>
      <c r="D214" s="88"/>
      <c r="E214" s="19"/>
      <c r="G214"/>
      <c r="H214"/>
      <c r="I214"/>
    </row>
    <row r="215" spans="1:9" s="1" customFormat="1" x14ac:dyDescent="0.25">
      <c r="A215"/>
      <c r="B215"/>
      <c r="C215" s="2" t="s">
        <v>376</v>
      </c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/>
      <c r="E218" s="21"/>
      <c r="G218"/>
      <c r="H218"/>
      <c r="I218"/>
    </row>
    <row r="219" spans="1:9" s="1" customFormat="1" x14ac:dyDescent="0.25">
      <c r="A219"/>
      <c r="B219"/>
      <c r="C219" s="2" t="s">
        <v>377</v>
      </c>
      <c r="E219" s="21"/>
      <c r="G219"/>
      <c r="H219"/>
      <c r="I219"/>
    </row>
    <row r="220" spans="1:9" s="1" customFormat="1" x14ac:dyDescent="0.25">
      <c r="A220"/>
      <c r="B220"/>
      <c r="C220" s="2" t="s">
        <v>349</v>
      </c>
      <c r="E220" s="21"/>
      <c r="G220"/>
      <c r="H220"/>
      <c r="I220"/>
    </row>
    <row r="221" spans="1:9" s="1" customFormat="1" x14ac:dyDescent="0.25">
      <c r="A221"/>
      <c r="B221"/>
      <c r="C221"/>
      <c r="D221"/>
      <c r="E221" s="22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  <row r="223" spans="1:9" s="1" customFormat="1" x14ac:dyDescent="0.25">
      <c r="A223"/>
      <c r="B223"/>
      <c r="C223"/>
      <c r="D223"/>
      <c r="G223"/>
      <c r="H223"/>
      <c r="I223"/>
    </row>
  </sheetData>
  <mergeCells count="8">
    <mergeCell ref="B8:C8"/>
    <mergeCell ref="B178:C17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opLeftCell="A16" zoomScale="120" zoomScaleNormal="120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60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>
        <f>SUM(D10:D14)</f>
        <v>952903427.16999996</v>
      </c>
      <c r="E9" s="71">
        <f>+E15</f>
        <v>952903427.16999996</v>
      </c>
    </row>
    <row r="10" spans="1:7" x14ac:dyDescent="0.25">
      <c r="A10" s="10" t="s">
        <v>64</v>
      </c>
      <c r="B10" s="7" t="s">
        <v>65</v>
      </c>
      <c r="C10" s="8" t="s">
        <v>66</v>
      </c>
      <c r="D10" s="53">
        <v>441935547.05000001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509512935.75999999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1124077.5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53">
        <v>330866.86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" t="s">
        <v>77</v>
      </c>
      <c r="D15" s="9"/>
      <c r="E15" s="9">
        <f>SUM(D10:D14)</f>
        <v>952903427.16999996</v>
      </c>
    </row>
    <row r="16" spans="1:7" x14ac:dyDescent="0.25">
      <c r="A16" s="51"/>
      <c r="B16" s="51"/>
      <c r="C16" s="63" t="s">
        <v>78</v>
      </c>
      <c r="D16" s="64">
        <f>+D17+D43+D97+D150+D163+D180</f>
        <v>34516386.939999998</v>
      </c>
      <c r="E16" s="64">
        <f>+D16</f>
        <v>34516386.939999998</v>
      </c>
    </row>
    <row r="17" spans="1:9" x14ac:dyDescent="0.25">
      <c r="A17" s="51"/>
      <c r="B17" s="51">
        <v>1</v>
      </c>
      <c r="C17" s="63" t="s">
        <v>79</v>
      </c>
      <c r="D17" s="57">
        <f>SUM(D18:D42)</f>
        <v>31761117.390000001</v>
      </c>
      <c r="E17" s="57" t="s">
        <v>3</v>
      </c>
    </row>
    <row r="18" spans="1:9" x14ac:dyDescent="0.25">
      <c r="A18" s="51" t="s">
        <v>80</v>
      </c>
      <c r="B18" s="51">
        <v>11101</v>
      </c>
      <c r="C18" s="52" t="s">
        <v>81</v>
      </c>
      <c r="D18" s="53">
        <f>975000+19224286.2</f>
        <v>20199286.199999999</v>
      </c>
      <c r="E18" s="53"/>
    </row>
    <row r="19" spans="1:9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30" x14ac:dyDescent="0.25">
      <c r="A22" s="10" t="s">
        <v>88</v>
      </c>
      <c r="B22" s="10">
        <v>11205</v>
      </c>
      <c r="C22" s="8" t="s">
        <v>89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90</v>
      </c>
      <c r="D23" s="65">
        <v>6093000</v>
      </c>
      <c r="E23" s="9"/>
    </row>
    <row r="24" spans="1:9" ht="30" x14ac:dyDescent="0.25">
      <c r="A24" s="10"/>
      <c r="B24" s="10">
        <v>11210</v>
      </c>
      <c r="C24" s="8" t="s">
        <v>91</v>
      </c>
      <c r="D24" s="53"/>
      <c r="E24" s="53"/>
    </row>
    <row r="25" spans="1:9" x14ac:dyDescent="0.25">
      <c r="A25" s="10"/>
      <c r="B25" s="10">
        <v>11211</v>
      </c>
      <c r="C25" s="8" t="s">
        <v>92</v>
      </c>
      <c r="D25" s="53"/>
      <c r="E25" s="53"/>
    </row>
    <row r="26" spans="1:9" x14ac:dyDescent="0.25">
      <c r="A26" s="10" t="s">
        <v>93</v>
      </c>
      <c r="B26" s="10">
        <v>11401</v>
      </c>
      <c r="C26" s="8" t="s">
        <v>94</v>
      </c>
      <c r="D26" s="53"/>
      <c r="E26" s="53"/>
    </row>
    <row r="27" spans="1:9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30" x14ac:dyDescent="0.25">
      <c r="A28" s="10"/>
      <c r="B28" s="10">
        <v>11503</v>
      </c>
      <c r="C28" s="8" t="s">
        <v>97</v>
      </c>
      <c r="D28" s="53"/>
      <c r="E28" s="53"/>
    </row>
    <row r="29" spans="1:9" x14ac:dyDescent="0.25">
      <c r="A29" s="10"/>
      <c r="B29" s="10">
        <v>11504</v>
      </c>
      <c r="C29" s="8" t="s">
        <v>98</v>
      </c>
      <c r="D29" s="53"/>
      <c r="E29" s="53"/>
    </row>
    <row r="30" spans="1:9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100</v>
      </c>
      <c r="D31" s="53"/>
      <c r="E31" s="53"/>
    </row>
    <row r="32" spans="1:9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5" x14ac:dyDescent="0.25">
      <c r="A33" s="10" t="s">
        <v>103</v>
      </c>
      <c r="B33" s="10">
        <v>12205</v>
      </c>
      <c r="C33" s="8" t="s">
        <v>104</v>
      </c>
      <c r="D33" s="53">
        <v>1437000</v>
      </c>
      <c r="E33" s="53"/>
    </row>
    <row r="34" spans="1:5" x14ac:dyDescent="0.25">
      <c r="A34" s="10" t="s">
        <v>105</v>
      </c>
      <c r="B34" s="10">
        <v>12206</v>
      </c>
      <c r="C34" s="8" t="s">
        <v>106</v>
      </c>
      <c r="D34" s="53"/>
      <c r="E34" s="9"/>
    </row>
    <row r="35" spans="1:5" x14ac:dyDescent="0.25">
      <c r="A35" s="10" t="s">
        <v>107</v>
      </c>
      <c r="B35" s="10">
        <v>12209</v>
      </c>
      <c r="C35" s="8" t="s">
        <v>108</v>
      </c>
      <c r="D35" s="53"/>
      <c r="E35" s="9"/>
    </row>
    <row r="36" spans="1:5" x14ac:dyDescent="0.25">
      <c r="A36" s="10"/>
      <c r="B36" s="10">
        <v>12210</v>
      </c>
      <c r="C36" s="8" t="s">
        <v>109</v>
      </c>
      <c r="D36" s="53"/>
      <c r="E36" s="9"/>
    </row>
    <row r="37" spans="1:5" ht="30" x14ac:dyDescent="0.25">
      <c r="A37" s="10"/>
      <c r="B37" s="10">
        <v>12215</v>
      </c>
      <c r="C37" s="8" t="s">
        <v>100</v>
      </c>
      <c r="D37" s="53"/>
      <c r="E37" s="9"/>
    </row>
    <row r="38" spans="1:5" x14ac:dyDescent="0.25">
      <c r="A38" s="10"/>
      <c r="B38" s="10">
        <v>13201</v>
      </c>
      <c r="C38" s="8" t="s">
        <v>110</v>
      </c>
      <c r="D38" s="53"/>
      <c r="E38" s="9"/>
    </row>
    <row r="39" spans="1:5" x14ac:dyDescent="0.25">
      <c r="A39" s="10" t="s">
        <v>111</v>
      </c>
      <c r="B39" s="10">
        <v>13101</v>
      </c>
      <c r="C39" s="8" t="s">
        <v>112</v>
      </c>
      <c r="D39" s="53"/>
      <c r="E39" s="9"/>
    </row>
    <row r="40" spans="1:5" x14ac:dyDescent="0.25">
      <c r="A40" s="10" t="s">
        <v>113</v>
      </c>
      <c r="B40" s="10">
        <v>15101</v>
      </c>
      <c r="C40" s="8" t="s">
        <v>114</v>
      </c>
      <c r="D40" s="54">
        <f>69127.5+1790715.01</f>
        <v>1859842.51</v>
      </c>
      <c r="E40" s="53"/>
    </row>
    <row r="41" spans="1:5" x14ac:dyDescent="0.25">
      <c r="A41" s="10" t="s">
        <v>115</v>
      </c>
      <c r="B41" s="10">
        <v>15201</v>
      </c>
      <c r="C41" s="8" t="s">
        <v>116</v>
      </c>
      <c r="D41" s="53">
        <f>69225+1800509.33</f>
        <v>1869734.33</v>
      </c>
      <c r="E41" s="53"/>
    </row>
    <row r="42" spans="1:5" ht="30" x14ac:dyDescent="0.25">
      <c r="A42" s="10"/>
      <c r="B42" s="10">
        <v>15301</v>
      </c>
      <c r="C42" s="8" t="s">
        <v>117</v>
      </c>
      <c r="D42" s="53">
        <f>E42+10725+249529.35</f>
        <v>260254.35</v>
      </c>
      <c r="E42" s="53"/>
    </row>
    <row r="43" spans="1:5" x14ac:dyDescent="0.25">
      <c r="A43" s="51"/>
      <c r="B43" s="51">
        <v>2</v>
      </c>
      <c r="C43" s="63" t="s">
        <v>118</v>
      </c>
      <c r="D43" s="57">
        <f>SUM(D44:D96)</f>
        <v>2755269.5500000003</v>
      </c>
      <c r="E43" s="57"/>
    </row>
    <row r="44" spans="1:5" x14ac:dyDescent="0.25">
      <c r="A44" s="10" t="s">
        <v>119</v>
      </c>
      <c r="B44" s="10">
        <v>21201</v>
      </c>
      <c r="C44" s="8" t="s">
        <v>120</v>
      </c>
      <c r="D44" s="54">
        <v>23767.94</v>
      </c>
      <c r="E44" s="53"/>
    </row>
    <row r="45" spans="1:5" x14ac:dyDescent="0.25">
      <c r="A45" s="10" t="s">
        <v>121</v>
      </c>
      <c r="B45" s="10">
        <v>21301</v>
      </c>
      <c r="C45" s="8" t="s">
        <v>122</v>
      </c>
      <c r="D45" s="53">
        <v>45896.39</v>
      </c>
      <c r="E45" s="53"/>
    </row>
    <row r="46" spans="1:5" x14ac:dyDescent="0.25">
      <c r="A46" s="10" t="s">
        <v>123</v>
      </c>
      <c r="B46" s="10">
        <v>21401</v>
      </c>
      <c r="C46" s="8" t="s">
        <v>124</v>
      </c>
      <c r="D46" s="53"/>
      <c r="E46" s="53"/>
    </row>
    <row r="47" spans="1:5" x14ac:dyDescent="0.25">
      <c r="A47" s="10" t="s">
        <v>125</v>
      </c>
      <c r="B47" s="10">
        <v>21501</v>
      </c>
      <c r="C47" s="8" t="s">
        <v>126</v>
      </c>
      <c r="D47" s="53">
        <v>1360640.37</v>
      </c>
      <c r="E47" s="53"/>
    </row>
    <row r="48" spans="1:5" x14ac:dyDescent="0.25">
      <c r="A48" s="10" t="s">
        <v>127</v>
      </c>
      <c r="B48" s="10">
        <v>21601</v>
      </c>
      <c r="C48" s="8" t="s">
        <v>128</v>
      </c>
      <c r="D48" s="53">
        <v>544840.04</v>
      </c>
      <c r="E48" s="53"/>
    </row>
    <row r="49" spans="1:6" x14ac:dyDescent="0.25">
      <c r="A49" s="10" t="s">
        <v>129</v>
      </c>
      <c r="B49" s="10">
        <v>21701</v>
      </c>
      <c r="C49" s="8" t="s">
        <v>130</v>
      </c>
      <c r="D49" s="53">
        <v>6390</v>
      </c>
      <c r="E49" s="53"/>
      <c r="F49" s="60"/>
    </row>
    <row r="50" spans="1:6" x14ac:dyDescent="0.25">
      <c r="A50" s="10" t="s">
        <v>131</v>
      </c>
      <c r="B50" s="10">
        <v>21801</v>
      </c>
      <c r="C50" s="8" t="s">
        <v>132</v>
      </c>
      <c r="D50" s="53">
        <v>9544</v>
      </c>
      <c r="E50" s="53"/>
      <c r="F50" s="60"/>
    </row>
    <row r="51" spans="1:6" x14ac:dyDescent="0.25">
      <c r="A51" s="10" t="s">
        <v>133</v>
      </c>
      <c r="B51" s="10">
        <v>22101</v>
      </c>
      <c r="C51" s="8" t="s">
        <v>134</v>
      </c>
      <c r="D51" s="53"/>
      <c r="E51" s="53"/>
      <c r="F51" s="60"/>
    </row>
    <row r="52" spans="1:6" x14ac:dyDescent="0.25">
      <c r="A52" s="10" t="s">
        <v>135</v>
      </c>
      <c r="B52" s="10">
        <v>22201</v>
      </c>
      <c r="C52" s="8" t="s">
        <v>136</v>
      </c>
      <c r="D52" s="53"/>
      <c r="E52" s="53"/>
      <c r="F52" s="60"/>
    </row>
    <row r="53" spans="1:6" x14ac:dyDescent="0.25">
      <c r="A53" s="10" t="s">
        <v>137</v>
      </c>
      <c r="B53" s="10">
        <v>23101</v>
      </c>
      <c r="C53" s="8" t="s">
        <v>138</v>
      </c>
      <c r="D53" s="53"/>
      <c r="E53" s="53"/>
      <c r="F53" s="60"/>
    </row>
    <row r="54" spans="1:6" x14ac:dyDescent="0.25">
      <c r="A54" s="10" t="s">
        <v>139</v>
      </c>
      <c r="B54" s="10">
        <v>23201</v>
      </c>
      <c r="C54" s="8" t="s">
        <v>140</v>
      </c>
      <c r="D54" s="53"/>
      <c r="E54" s="53"/>
    </row>
    <row r="55" spans="1:6" x14ac:dyDescent="0.25">
      <c r="A55" s="10" t="s">
        <v>141</v>
      </c>
      <c r="B55" s="10">
        <v>24101</v>
      </c>
      <c r="C55" s="8" t="s">
        <v>142</v>
      </c>
      <c r="D55" s="53"/>
      <c r="E55" s="53"/>
    </row>
    <row r="56" spans="1:6" x14ac:dyDescent="0.25">
      <c r="A56" s="10" t="s">
        <v>143</v>
      </c>
      <c r="B56" s="10">
        <v>24201</v>
      </c>
      <c r="C56" s="8" t="s">
        <v>144</v>
      </c>
      <c r="D56" s="53"/>
      <c r="E56" s="53"/>
    </row>
    <row r="57" spans="1:6" x14ac:dyDescent="0.25">
      <c r="A57" s="10" t="s">
        <v>145</v>
      </c>
      <c r="B57" s="10">
        <v>24401</v>
      </c>
      <c r="C57" s="8" t="s">
        <v>146</v>
      </c>
      <c r="D57" s="53"/>
      <c r="E57" s="53"/>
    </row>
    <row r="58" spans="1:6" x14ac:dyDescent="0.25">
      <c r="A58" s="10" t="s">
        <v>147</v>
      </c>
      <c r="B58" s="10">
        <v>25101</v>
      </c>
      <c r="C58" s="8" t="s">
        <v>148</v>
      </c>
      <c r="D58" s="53">
        <v>565259.18000000005</v>
      </c>
      <c r="E58" s="53"/>
    </row>
    <row r="59" spans="1:6" x14ac:dyDescent="0.25">
      <c r="A59" s="10"/>
      <c r="B59" s="10">
        <v>25302</v>
      </c>
      <c r="C59" s="8" t="s">
        <v>149</v>
      </c>
      <c r="D59" s="53"/>
      <c r="E59" s="53"/>
    </row>
    <row r="60" spans="1:6" x14ac:dyDescent="0.25">
      <c r="A60" s="10"/>
      <c r="B60" s="10">
        <v>25303</v>
      </c>
      <c r="C60" s="8" t="s">
        <v>150</v>
      </c>
      <c r="D60" s="53"/>
      <c r="E60" s="53"/>
    </row>
    <row r="61" spans="1:6" ht="30" x14ac:dyDescent="0.25">
      <c r="A61" s="10"/>
      <c r="B61" s="10">
        <v>25304</v>
      </c>
      <c r="C61" s="8" t="s">
        <v>151</v>
      </c>
      <c r="D61" s="53"/>
      <c r="E61" s="53"/>
    </row>
    <row r="62" spans="1:6" ht="30" x14ac:dyDescent="0.25">
      <c r="A62" s="10" t="s">
        <v>152</v>
      </c>
      <c r="B62" s="10">
        <v>25401</v>
      </c>
      <c r="C62" s="8" t="s">
        <v>153</v>
      </c>
      <c r="D62" s="53"/>
      <c r="E62" s="53"/>
    </row>
    <row r="63" spans="1:6" x14ac:dyDescent="0.25">
      <c r="A63" s="10" t="s">
        <v>154</v>
      </c>
      <c r="B63" s="10">
        <v>25801</v>
      </c>
      <c r="C63" s="8" t="s">
        <v>155</v>
      </c>
      <c r="D63" s="53"/>
      <c r="E63" s="9"/>
    </row>
    <row r="64" spans="1:6" ht="30" x14ac:dyDescent="0.25">
      <c r="A64" s="10"/>
      <c r="B64" s="10">
        <v>26101</v>
      </c>
      <c r="C64" s="8" t="s">
        <v>156</v>
      </c>
      <c r="D64" s="53"/>
      <c r="E64" s="53"/>
    </row>
    <row r="65" spans="1:5" x14ac:dyDescent="0.25">
      <c r="A65" s="10" t="s">
        <v>157</v>
      </c>
      <c r="B65" s="10">
        <v>26201</v>
      </c>
      <c r="C65" s="8" t="s">
        <v>158</v>
      </c>
      <c r="D65" s="53"/>
      <c r="E65" s="53"/>
    </row>
    <row r="66" spans="1:5" x14ac:dyDescent="0.25">
      <c r="A66" s="10" t="s">
        <v>159</v>
      </c>
      <c r="B66" s="10">
        <v>26301</v>
      </c>
      <c r="C66" s="8" t="s">
        <v>160</v>
      </c>
      <c r="D66" s="53"/>
      <c r="E66" s="53"/>
    </row>
    <row r="67" spans="1:5" x14ac:dyDescent="0.25">
      <c r="A67" s="10" t="s">
        <v>161</v>
      </c>
      <c r="B67" s="10">
        <v>27101</v>
      </c>
      <c r="C67" s="8" t="s">
        <v>162</v>
      </c>
      <c r="D67" s="53"/>
      <c r="E67" s="9"/>
    </row>
    <row r="68" spans="1:5" x14ac:dyDescent="0.25">
      <c r="A68" s="10" t="s">
        <v>163</v>
      </c>
      <c r="B68" s="10">
        <v>27102</v>
      </c>
      <c r="C68" s="8" t="s">
        <v>164</v>
      </c>
      <c r="D68" s="53"/>
      <c r="E68" s="9"/>
    </row>
    <row r="69" spans="1:5" x14ac:dyDescent="0.25">
      <c r="A69" s="10"/>
      <c r="B69" s="10">
        <v>27104</v>
      </c>
      <c r="C69" s="8" t="s">
        <v>165</v>
      </c>
      <c r="D69" s="53"/>
      <c r="E69" s="9"/>
    </row>
    <row r="70" spans="1:5" ht="30" x14ac:dyDescent="0.25">
      <c r="A70" s="10" t="s">
        <v>166</v>
      </c>
      <c r="B70" s="10">
        <v>27106</v>
      </c>
      <c r="C70" s="8" t="s">
        <v>167</v>
      </c>
      <c r="D70" s="53"/>
      <c r="E70" s="53"/>
    </row>
    <row r="71" spans="1:5" ht="30" x14ac:dyDescent="0.25">
      <c r="A71" s="10"/>
      <c r="B71" s="10">
        <v>27107</v>
      </c>
      <c r="C71" s="8" t="s">
        <v>168</v>
      </c>
      <c r="D71" s="53"/>
      <c r="E71" s="53"/>
    </row>
    <row r="72" spans="1:5" ht="30" x14ac:dyDescent="0.25">
      <c r="A72" s="10" t="s">
        <v>169</v>
      </c>
      <c r="B72" s="10">
        <v>27201</v>
      </c>
      <c r="C72" s="8" t="s">
        <v>170</v>
      </c>
      <c r="D72" s="53"/>
      <c r="E72" s="53"/>
    </row>
    <row r="73" spans="1:5" x14ac:dyDescent="0.25">
      <c r="A73" s="10"/>
      <c r="B73" s="10">
        <v>27202</v>
      </c>
      <c r="C73" s="8" t="s">
        <v>171</v>
      </c>
      <c r="D73" s="53"/>
      <c r="E73" s="53"/>
    </row>
    <row r="74" spans="1:5" ht="30" x14ac:dyDescent="0.25">
      <c r="A74" s="10"/>
      <c r="B74" s="10">
        <v>272041</v>
      </c>
      <c r="C74" s="8" t="s">
        <v>172</v>
      </c>
      <c r="D74" s="53"/>
      <c r="E74" s="53"/>
    </row>
    <row r="75" spans="1:5" ht="30" x14ac:dyDescent="0.25">
      <c r="A75" s="10" t="s">
        <v>173</v>
      </c>
      <c r="B75" s="10">
        <v>27205</v>
      </c>
      <c r="C75" s="8" t="s">
        <v>174</v>
      </c>
      <c r="D75" s="53"/>
      <c r="E75" s="53"/>
    </row>
    <row r="76" spans="1:5" ht="30" x14ac:dyDescent="0.25">
      <c r="A76" s="10" t="s">
        <v>175</v>
      </c>
      <c r="B76" s="10">
        <v>27206</v>
      </c>
      <c r="C76" s="8" t="s">
        <v>176</v>
      </c>
      <c r="D76" s="53"/>
      <c r="E76" s="53"/>
    </row>
    <row r="77" spans="1:5" ht="30" x14ac:dyDescent="0.25">
      <c r="A77" s="10"/>
      <c r="B77" s="10">
        <v>27208</v>
      </c>
      <c r="C77" s="8" t="s">
        <v>177</v>
      </c>
      <c r="D77" s="53"/>
      <c r="E77" s="53"/>
    </row>
    <row r="78" spans="1:5" x14ac:dyDescent="0.25">
      <c r="A78" s="10" t="s">
        <v>178</v>
      </c>
      <c r="B78" s="10">
        <v>28201</v>
      </c>
      <c r="C78" s="8" t="s">
        <v>179</v>
      </c>
      <c r="D78" s="53"/>
      <c r="E78" s="53"/>
    </row>
    <row r="79" spans="1:5" ht="30" x14ac:dyDescent="0.25">
      <c r="A79" s="10"/>
      <c r="B79" s="10">
        <v>28301</v>
      </c>
      <c r="C79" s="8" t="s">
        <v>180</v>
      </c>
      <c r="D79" s="53"/>
      <c r="E79" s="53"/>
    </row>
    <row r="80" spans="1:5" x14ac:dyDescent="0.25">
      <c r="A80" s="10" t="s">
        <v>181</v>
      </c>
      <c r="B80" s="10">
        <v>28401</v>
      </c>
      <c r="C80" s="8" t="s">
        <v>182</v>
      </c>
      <c r="D80" s="53"/>
      <c r="E80" s="53"/>
    </row>
    <row r="81" spans="1:5" x14ac:dyDescent="0.25">
      <c r="A81" s="10" t="s">
        <v>183</v>
      </c>
      <c r="B81" s="10">
        <v>28501</v>
      </c>
      <c r="C81" s="8" t="s">
        <v>184</v>
      </c>
      <c r="D81" s="53"/>
      <c r="E81" s="53"/>
    </row>
    <row r="82" spans="1:5" x14ac:dyDescent="0.25">
      <c r="A82" s="10" t="s">
        <v>185</v>
      </c>
      <c r="B82" s="10">
        <v>28502</v>
      </c>
      <c r="C82" s="8" t="s">
        <v>186</v>
      </c>
      <c r="D82" s="53"/>
      <c r="E82" s="53"/>
    </row>
    <row r="83" spans="1:5" x14ac:dyDescent="0.25">
      <c r="A83" s="10" t="s">
        <v>187</v>
      </c>
      <c r="B83" s="10">
        <v>28503</v>
      </c>
      <c r="C83" s="8" t="s">
        <v>188</v>
      </c>
      <c r="D83" s="53">
        <v>158931.63</v>
      </c>
      <c r="E83" s="53"/>
    </row>
    <row r="84" spans="1:5" x14ac:dyDescent="0.25">
      <c r="A84" s="10" t="s">
        <v>189</v>
      </c>
      <c r="B84" s="10">
        <v>28601</v>
      </c>
      <c r="C84" s="8" t="s">
        <v>190</v>
      </c>
      <c r="D84" s="53"/>
      <c r="E84" s="53"/>
    </row>
    <row r="85" spans="1:5" x14ac:dyDescent="0.25">
      <c r="A85" s="10"/>
      <c r="B85" s="10">
        <v>28602</v>
      </c>
      <c r="C85" s="8" t="s">
        <v>191</v>
      </c>
      <c r="D85" s="53"/>
      <c r="E85" s="53"/>
    </row>
    <row r="86" spans="1:5" ht="30" x14ac:dyDescent="0.25">
      <c r="A86" s="10"/>
      <c r="B86" s="10">
        <v>28701</v>
      </c>
      <c r="C86" s="8" t="s">
        <v>192</v>
      </c>
      <c r="D86" s="53"/>
      <c r="E86" s="9"/>
    </row>
    <row r="87" spans="1:5" x14ac:dyDescent="0.25">
      <c r="A87" s="10"/>
      <c r="B87" s="10">
        <v>28702</v>
      </c>
      <c r="C87" s="8" t="s">
        <v>193</v>
      </c>
      <c r="D87" s="53"/>
      <c r="E87" s="9"/>
    </row>
    <row r="88" spans="1:5" x14ac:dyDescent="0.25">
      <c r="A88" s="10"/>
      <c r="B88" s="10">
        <v>28704</v>
      </c>
      <c r="C88" s="8" t="s">
        <v>194</v>
      </c>
      <c r="D88" s="53"/>
      <c r="E88" s="9"/>
    </row>
    <row r="89" spans="1:5" x14ac:dyDescent="0.25">
      <c r="A89" s="10"/>
      <c r="B89" s="10">
        <v>28705</v>
      </c>
      <c r="C89" s="8" t="s">
        <v>195</v>
      </c>
      <c r="D89" s="53"/>
      <c r="E89" s="53"/>
    </row>
    <row r="90" spans="1:5" x14ac:dyDescent="0.25">
      <c r="A90" s="10" t="s">
        <v>196</v>
      </c>
      <c r="B90" s="10">
        <v>28706</v>
      </c>
      <c r="C90" s="8" t="s">
        <v>197</v>
      </c>
      <c r="D90" s="53">
        <v>40000</v>
      </c>
      <c r="E90" s="53"/>
    </row>
    <row r="91" spans="1:5" x14ac:dyDescent="0.25">
      <c r="A91" s="10" t="s">
        <v>198</v>
      </c>
      <c r="B91" s="10">
        <v>28801</v>
      </c>
      <c r="C91" s="8" t="s">
        <v>199</v>
      </c>
      <c r="D91" s="53"/>
      <c r="E91" s="53"/>
    </row>
    <row r="92" spans="1:5" x14ac:dyDescent="0.25">
      <c r="A92" s="10"/>
      <c r="B92" s="10">
        <v>28802</v>
      </c>
      <c r="C92" s="8" t="s">
        <v>200</v>
      </c>
      <c r="D92" s="53"/>
      <c r="E92" s="53"/>
    </row>
    <row r="93" spans="1:5" x14ac:dyDescent="0.25">
      <c r="A93" s="10"/>
      <c r="B93" s="10">
        <v>28803</v>
      </c>
      <c r="C93" s="8" t="s">
        <v>200</v>
      </c>
      <c r="D93" s="53"/>
      <c r="E93" s="53"/>
    </row>
    <row r="94" spans="1:5" x14ac:dyDescent="0.25">
      <c r="A94" s="10"/>
      <c r="B94" s="10">
        <v>28804</v>
      </c>
      <c r="C94" s="8" t="s">
        <v>200</v>
      </c>
      <c r="D94" s="53"/>
      <c r="E94" s="53"/>
    </row>
    <row r="95" spans="1:5" x14ac:dyDescent="0.25">
      <c r="A95" s="10"/>
      <c r="B95" s="10">
        <v>29101</v>
      </c>
      <c r="C95" s="8" t="s">
        <v>201</v>
      </c>
      <c r="D95" s="53"/>
      <c r="E95" s="53"/>
    </row>
    <row r="96" spans="1:5" x14ac:dyDescent="0.25">
      <c r="A96" s="10"/>
      <c r="B96" s="10">
        <v>29201</v>
      </c>
      <c r="C96" s="8" t="s">
        <v>202</v>
      </c>
      <c r="D96" s="53"/>
      <c r="E96" s="9"/>
    </row>
    <row r="97" spans="1:5" x14ac:dyDescent="0.25">
      <c r="A97" s="51"/>
      <c r="B97" s="51">
        <v>3</v>
      </c>
      <c r="C97" s="63" t="s">
        <v>203</v>
      </c>
      <c r="D97" s="57"/>
      <c r="E97" s="57"/>
    </row>
    <row r="98" spans="1:5" x14ac:dyDescent="0.25">
      <c r="A98" s="10" t="s">
        <v>204</v>
      </c>
      <c r="B98" s="10">
        <v>31101</v>
      </c>
      <c r="C98" s="8" t="s">
        <v>205</v>
      </c>
      <c r="D98" s="53"/>
      <c r="E98" s="53"/>
    </row>
    <row r="99" spans="1:5" x14ac:dyDescent="0.25">
      <c r="A99" s="10" t="s">
        <v>206</v>
      </c>
      <c r="B99" s="10">
        <v>31303</v>
      </c>
      <c r="C99" s="8" t="s">
        <v>207</v>
      </c>
      <c r="D99" s="53"/>
      <c r="E99" s="53"/>
    </row>
    <row r="100" spans="1:5" x14ac:dyDescent="0.25">
      <c r="A100" s="10" t="s">
        <v>208</v>
      </c>
      <c r="B100" s="10">
        <v>31401</v>
      </c>
      <c r="C100" s="8" t="s">
        <v>209</v>
      </c>
      <c r="D100" s="53"/>
      <c r="E100" s="53"/>
    </row>
    <row r="101" spans="1:5" x14ac:dyDescent="0.25">
      <c r="A101" s="10" t="s">
        <v>210</v>
      </c>
      <c r="B101" s="10">
        <v>32101</v>
      </c>
      <c r="C101" s="8" t="s">
        <v>211</v>
      </c>
      <c r="D101" s="53"/>
      <c r="E101" s="53"/>
    </row>
    <row r="102" spans="1:5" x14ac:dyDescent="0.25">
      <c r="A102" s="10" t="s">
        <v>212</v>
      </c>
      <c r="B102" s="10">
        <v>32201</v>
      </c>
      <c r="C102" s="8" t="s">
        <v>213</v>
      </c>
      <c r="D102" s="53"/>
      <c r="E102" s="53"/>
    </row>
    <row r="103" spans="1:5" x14ac:dyDescent="0.25">
      <c r="A103" s="10" t="s">
        <v>214</v>
      </c>
      <c r="B103" s="10">
        <v>32301</v>
      </c>
      <c r="C103" s="8" t="s">
        <v>215</v>
      </c>
      <c r="D103" s="53"/>
      <c r="E103" s="53"/>
    </row>
    <row r="104" spans="1:5" x14ac:dyDescent="0.25">
      <c r="A104" s="10" t="s">
        <v>216</v>
      </c>
      <c r="B104" s="10">
        <v>32401</v>
      </c>
      <c r="C104" s="8" t="s">
        <v>217</v>
      </c>
      <c r="D104" s="53"/>
      <c r="E104" s="53"/>
    </row>
    <row r="105" spans="1:5" x14ac:dyDescent="0.25">
      <c r="A105" s="10" t="s">
        <v>218</v>
      </c>
      <c r="B105" s="10">
        <v>33101</v>
      </c>
      <c r="C105" s="8" t="s">
        <v>219</v>
      </c>
      <c r="D105" s="53"/>
      <c r="E105" s="53"/>
    </row>
    <row r="106" spans="1:5" x14ac:dyDescent="0.25">
      <c r="A106" s="10" t="s">
        <v>220</v>
      </c>
      <c r="B106" s="10">
        <v>33201</v>
      </c>
      <c r="C106" s="8" t="s">
        <v>221</v>
      </c>
      <c r="D106" s="53"/>
      <c r="E106" s="53"/>
    </row>
    <row r="107" spans="1:5" x14ac:dyDescent="0.25">
      <c r="A107" s="10" t="s">
        <v>222</v>
      </c>
      <c r="B107" s="10">
        <v>33301</v>
      </c>
      <c r="C107" s="8" t="s">
        <v>223</v>
      </c>
      <c r="D107" s="53"/>
      <c r="E107" s="53"/>
    </row>
    <row r="108" spans="1:5" x14ac:dyDescent="0.25">
      <c r="A108" s="10" t="s">
        <v>224</v>
      </c>
      <c r="B108" s="10">
        <v>33401</v>
      </c>
      <c r="C108" s="8" t="s">
        <v>225</v>
      </c>
      <c r="D108" s="53"/>
      <c r="E108" s="53"/>
    </row>
    <row r="109" spans="1:5" x14ac:dyDescent="0.25">
      <c r="A109" s="10" t="s">
        <v>226</v>
      </c>
      <c r="B109" s="10">
        <v>33601</v>
      </c>
      <c r="C109" s="8" t="s">
        <v>227</v>
      </c>
      <c r="D109" s="53"/>
      <c r="E109" s="53"/>
    </row>
    <row r="110" spans="1:5" x14ac:dyDescent="0.25">
      <c r="A110" s="10" t="s">
        <v>228</v>
      </c>
      <c r="B110" s="10">
        <v>34101</v>
      </c>
      <c r="C110" s="8" t="s">
        <v>229</v>
      </c>
      <c r="D110" s="53"/>
      <c r="E110" s="53"/>
    </row>
    <row r="111" spans="1:5" x14ac:dyDescent="0.25">
      <c r="A111" s="10" t="s">
        <v>230</v>
      </c>
      <c r="B111" s="10">
        <v>35101</v>
      </c>
      <c r="C111" s="8" t="s">
        <v>231</v>
      </c>
      <c r="D111" s="53"/>
      <c r="E111" s="53"/>
    </row>
    <row r="112" spans="1:5" x14ac:dyDescent="0.25">
      <c r="A112" s="10" t="s">
        <v>232</v>
      </c>
      <c r="B112" s="10">
        <v>35201</v>
      </c>
      <c r="C112" s="8" t="s">
        <v>233</v>
      </c>
      <c r="D112" s="53"/>
      <c r="E112" s="53"/>
    </row>
    <row r="113" spans="1:9" x14ac:dyDescent="0.25">
      <c r="A113" s="10" t="s">
        <v>234</v>
      </c>
      <c r="B113" s="10">
        <v>35301</v>
      </c>
      <c r="C113" s="8" t="s">
        <v>235</v>
      </c>
      <c r="D113" s="53"/>
      <c r="E113" s="53"/>
    </row>
    <row r="114" spans="1:9" x14ac:dyDescent="0.25">
      <c r="A114" s="10" t="s">
        <v>236</v>
      </c>
      <c r="B114" s="10">
        <v>35401</v>
      </c>
      <c r="C114" s="8" t="s">
        <v>237</v>
      </c>
      <c r="D114" s="53"/>
      <c r="E114" s="53"/>
    </row>
    <row r="115" spans="1:9" x14ac:dyDescent="0.25">
      <c r="A115" s="10" t="s">
        <v>238</v>
      </c>
      <c r="B115" s="10">
        <v>35501</v>
      </c>
      <c r="C115" s="8" t="s">
        <v>239</v>
      </c>
      <c r="D115" s="53"/>
      <c r="E115" s="53"/>
    </row>
    <row r="116" spans="1:9" x14ac:dyDescent="0.25">
      <c r="A116" s="10" t="s">
        <v>240</v>
      </c>
      <c r="B116" s="10">
        <v>36101</v>
      </c>
      <c r="C116" s="8" t="s">
        <v>241</v>
      </c>
      <c r="D116" s="53"/>
      <c r="E116" s="53"/>
    </row>
    <row r="117" spans="1:9" x14ac:dyDescent="0.25">
      <c r="A117" s="10"/>
      <c r="B117" s="10">
        <v>36102</v>
      </c>
      <c r="C117" s="8" t="s">
        <v>242</v>
      </c>
      <c r="D117" s="53"/>
      <c r="E117" s="53"/>
    </row>
    <row r="118" spans="1:9" x14ac:dyDescent="0.25">
      <c r="A118" s="10" t="s">
        <v>243</v>
      </c>
      <c r="B118" s="10">
        <v>36104</v>
      </c>
      <c r="C118" s="8" t="s">
        <v>244</v>
      </c>
      <c r="D118" s="53"/>
      <c r="E118" s="53"/>
    </row>
    <row r="119" spans="1:9" x14ac:dyDescent="0.25">
      <c r="A119" s="10" t="s">
        <v>245</v>
      </c>
      <c r="B119" s="10">
        <v>36201</v>
      </c>
      <c r="C119" s="8" t="s">
        <v>246</v>
      </c>
      <c r="D119" s="53"/>
      <c r="E119" s="53"/>
    </row>
    <row r="120" spans="1:9" x14ac:dyDescent="0.25">
      <c r="A120" s="10" t="s">
        <v>247</v>
      </c>
      <c r="B120" s="10">
        <v>36202</v>
      </c>
      <c r="C120" s="8" t="s">
        <v>248</v>
      </c>
      <c r="D120" s="53"/>
      <c r="E120" s="53"/>
    </row>
    <row r="121" spans="1:9" x14ac:dyDescent="0.25">
      <c r="A121" s="10" t="s">
        <v>249</v>
      </c>
      <c r="B121" s="10">
        <v>36203</v>
      </c>
      <c r="C121" s="8" t="s">
        <v>250</v>
      </c>
      <c r="D121" s="53"/>
      <c r="E121" s="53"/>
    </row>
    <row r="122" spans="1:9" x14ac:dyDescent="0.25">
      <c r="A122" s="10" t="s">
        <v>251</v>
      </c>
      <c r="B122" s="10">
        <v>36301</v>
      </c>
      <c r="C122" s="8" t="s">
        <v>252</v>
      </c>
      <c r="D122" s="53"/>
      <c r="E122" s="53"/>
    </row>
    <row r="123" spans="1:9" x14ac:dyDescent="0.25">
      <c r="A123" s="10"/>
      <c r="B123" s="10">
        <v>36302</v>
      </c>
      <c r="C123" s="8" t="s">
        <v>248</v>
      </c>
      <c r="D123" s="53"/>
      <c r="E123" s="53"/>
    </row>
    <row r="124" spans="1:9" x14ac:dyDescent="0.25">
      <c r="A124" s="10" t="s">
        <v>253</v>
      </c>
      <c r="B124" s="10">
        <v>36303</v>
      </c>
      <c r="C124" s="8" t="s">
        <v>254</v>
      </c>
      <c r="D124" s="53"/>
      <c r="E124" s="53"/>
    </row>
    <row r="125" spans="1:9" x14ac:dyDescent="0.25">
      <c r="A125" s="10" t="s">
        <v>255</v>
      </c>
      <c r="B125" s="10">
        <v>36304</v>
      </c>
      <c r="C125" s="8" t="s">
        <v>256</v>
      </c>
      <c r="D125" s="53"/>
      <c r="E125" s="53"/>
    </row>
    <row r="126" spans="1:9" s="1" customFormat="1" x14ac:dyDescent="0.25">
      <c r="A126" s="10" t="s">
        <v>255</v>
      </c>
      <c r="B126" s="10">
        <v>36306</v>
      </c>
      <c r="C126" s="8" t="s">
        <v>257</v>
      </c>
      <c r="D126" s="53"/>
      <c r="E126" s="53"/>
      <c r="G126"/>
      <c r="H126"/>
      <c r="I126"/>
    </row>
    <row r="127" spans="1:9" s="1" customFormat="1" x14ac:dyDescent="0.25">
      <c r="A127" s="10"/>
      <c r="B127" s="51">
        <v>36307</v>
      </c>
      <c r="C127" s="52" t="s">
        <v>258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36401</v>
      </c>
      <c r="C128" s="52"/>
      <c r="D128" s="53"/>
      <c r="E128" s="53"/>
      <c r="G128"/>
      <c r="H128"/>
      <c r="I128"/>
    </row>
    <row r="129" spans="1:9" s="1" customFormat="1" x14ac:dyDescent="0.25">
      <c r="A129" s="10" t="s">
        <v>243</v>
      </c>
      <c r="B129" s="51">
        <v>36403</v>
      </c>
      <c r="C129" s="52" t="s">
        <v>259</v>
      </c>
      <c r="D129" s="53"/>
      <c r="E129" s="53"/>
      <c r="G129"/>
      <c r="H129"/>
      <c r="I129"/>
    </row>
    <row r="130" spans="1:9" s="1" customFormat="1" x14ac:dyDescent="0.25">
      <c r="A130" s="10" t="s">
        <v>260</v>
      </c>
      <c r="B130" s="51">
        <v>37101</v>
      </c>
      <c r="C130" s="52" t="s">
        <v>261</v>
      </c>
      <c r="D130" s="53"/>
      <c r="E130" s="53"/>
      <c r="G130"/>
      <c r="H130"/>
      <c r="I130"/>
    </row>
    <row r="131" spans="1:9" s="1" customFormat="1" x14ac:dyDescent="0.25">
      <c r="A131" s="10" t="s">
        <v>262</v>
      </c>
      <c r="B131" s="51">
        <v>37102</v>
      </c>
      <c r="C131" s="52" t="s">
        <v>263</v>
      </c>
      <c r="D131" s="53"/>
      <c r="E131" s="53"/>
      <c r="G131"/>
      <c r="H131"/>
      <c r="I131"/>
    </row>
    <row r="132" spans="1:9" s="1" customFormat="1" x14ac:dyDescent="0.25">
      <c r="A132" s="10" t="s">
        <v>264</v>
      </c>
      <c r="B132" s="51">
        <v>37104</v>
      </c>
      <c r="C132" s="52" t="s">
        <v>265</v>
      </c>
      <c r="D132" s="53"/>
      <c r="E132" s="53"/>
      <c r="G132"/>
      <c r="H132"/>
      <c r="I132"/>
    </row>
    <row r="133" spans="1:9" s="1" customFormat="1" x14ac:dyDescent="0.25">
      <c r="A133" s="10" t="s">
        <v>266</v>
      </c>
      <c r="B133" s="51">
        <v>37105</v>
      </c>
      <c r="C133" s="52" t="s">
        <v>267</v>
      </c>
      <c r="D133" s="53"/>
      <c r="E133" s="53"/>
      <c r="G133"/>
      <c r="H133"/>
      <c r="I133"/>
    </row>
    <row r="134" spans="1:9" s="1" customFormat="1" x14ac:dyDescent="0.25">
      <c r="A134" s="10" t="s">
        <v>268</v>
      </c>
      <c r="B134" s="51">
        <v>37106</v>
      </c>
      <c r="C134" s="52" t="s">
        <v>269</v>
      </c>
      <c r="D134" s="53"/>
      <c r="E134" s="53"/>
      <c r="G134"/>
      <c r="H134"/>
      <c r="I134"/>
    </row>
    <row r="135" spans="1:9" s="1" customFormat="1" x14ac:dyDescent="0.25">
      <c r="A135" s="10"/>
      <c r="B135" s="51">
        <v>37201</v>
      </c>
      <c r="C135" s="52" t="s">
        <v>270</v>
      </c>
      <c r="D135" s="53"/>
      <c r="E135" s="53"/>
      <c r="G135"/>
      <c r="H135"/>
      <c r="I135"/>
    </row>
    <row r="136" spans="1:9" s="1" customFormat="1" x14ac:dyDescent="0.25">
      <c r="A136" s="10" t="s">
        <v>271</v>
      </c>
      <c r="B136" s="10">
        <v>37203</v>
      </c>
      <c r="C136" s="8" t="s">
        <v>272</v>
      </c>
      <c r="D136" s="53"/>
      <c r="E136" s="53"/>
      <c r="G136"/>
      <c r="H136"/>
      <c r="I136"/>
    </row>
    <row r="137" spans="1:9" s="1" customFormat="1" x14ac:dyDescent="0.25">
      <c r="A137" s="10" t="s">
        <v>273</v>
      </c>
      <c r="B137" s="10">
        <v>37205</v>
      </c>
      <c r="C137" s="8" t="s">
        <v>274</v>
      </c>
      <c r="D137" s="53"/>
      <c r="E137" s="53"/>
      <c r="G137"/>
      <c r="H137"/>
      <c r="I137"/>
    </row>
    <row r="138" spans="1:9" s="1" customFormat="1" x14ac:dyDescent="0.25">
      <c r="A138" s="10" t="s">
        <v>275</v>
      </c>
      <c r="B138" s="10">
        <v>37206</v>
      </c>
      <c r="C138" s="8" t="s">
        <v>276</v>
      </c>
      <c r="D138" s="53"/>
      <c r="E138" s="53"/>
      <c r="G138"/>
      <c r="H138"/>
      <c r="I138"/>
    </row>
    <row r="139" spans="1:9" s="1" customFormat="1" x14ac:dyDescent="0.25">
      <c r="A139" s="10"/>
      <c r="B139" s="51">
        <v>37299</v>
      </c>
      <c r="C139" s="52" t="s">
        <v>277</v>
      </c>
      <c r="D139" s="53"/>
      <c r="E139" s="53"/>
      <c r="G139"/>
      <c r="H139"/>
      <c r="I139"/>
    </row>
    <row r="140" spans="1:9" s="1" customFormat="1" x14ac:dyDescent="0.25">
      <c r="A140" s="10" t="s">
        <v>278</v>
      </c>
      <c r="B140" s="51">
        <v>39101</v>
      </c>
      <c r="C140" s="52" t="s">
        <v>279</v>
      </c>
      <c r="D140" s="53"/>
      <c r="E140" s="53"/>
      <c r="G140"/>
      <c r="H140"/>
      <c r="I140"/>
    </row>
    <row r="141" spans="1:9" s="1" customFormat="1" ht="30" x14ac:dyDescent="0.25">
      <c r="A141" s="10" t="s">
        <v>280</v>
      </c>
      <c r="B141" s="51">
        <v>39201</v>
      </c>
      <c r="C141" s="52" t="s">
        <v>281</v>
      </c>
      <c r="D141" s="53"/>
      <c r="E141" s="53"/>
      <c r="G141"/>
      <c r="H141"/>
      <c r="I141"/>
    </row>
    <row r="142" spans="1:9" s="1" customFormat="1" ht="30" x14ac:dyDescent="0.25">
      <c r="A142" s="10"/>
      <c r="B142" s="51">
        <v>39301</v>
      </c>
      <c r="C142" s="52" t="s">
        <v>282</v>
      </c>
      <c r="D142" s="53"/>
      <c r="E142" s="53"/>
      <c r="G142"/>
      <c r="H142"/>
      <c r="I142"/>
    </row>
    <row r="143" spans="1:9" s="1" customFormat="1" x14ac:dyDescent="0.25">
      <c r="A143" s="10" t="s">
        <v>283</v>
      </c>
      <c r="B143" s="51">
        <v>39501</v>
      </c>
      <c r="C143" s="52" t="s">
        <v>284</v>
      </c>
      <c r="D143" s="53"/>
      <c r="E143" s="53"/>
      <c r="G143"/>
      <c r="H143"/>
      <c r="I143"/>
    </row>
    <row r="144" spans="1:9" s="1" customFormat="1" x14ac:dyDescent="0.25">
      <c r="A144" s="10" t="s">
        <v>285</v>
      </c>
      <c r="B144" s="10">
        <v>39601</v>
      </c>
      <c r="C144" s="8" t="s">
        <v>286</v>
      </c>
      <c r="D144" s="53"/>
      <c r="E144" s="53"/>
      <c r="G144"/>
      <c r="H144"/>
      <c r="I144"/>
    </row>
    <row r="145" spans="1:9" s="1" customFormat="1" x14ac:dyDescent="0.25">
      <c r="A145" s="10" t="s">
        <v>287</v>
      </c>
      <c r="B145" s="10">
        <v>39801</v>
      </c>
      <c r="C145" s="8" t="s">
        <v>288</v>
      </c>
      <c r="D145" s="53"/>
      <c r="E145" s="53"/>
      <c r="G145"/>
      <c r="H145"/>
      <c r="I145"/>
    </row>
    <row r="146" spans="1:9" s="1" customFormat="1" x14ac:dyDescent="0.25">
      <c r="A146" s="10" t="s">
        <v>289</v>
      </c>
      <c r="B146" s="10">
        <v>39901</v>
      </c>
      <c r="C146" s="8" t="s">
        <v>290</v>
      </c>
      <c r="D146" s="53"/>
      <c r="E146" s="53"/>
      <c r="G146"/>
      <c r="H146"/>
      <c r="I146"/>
    </row>
    <row r="147" spans="1:9" s="1" customFormat="1" x14ac:dyDescent="0.25">
      <c r="A147" s="10" t="s">
        <v>289</v>
      </c>
      <c r="B147" s="10">
        <v>39902</v>
      </c>
      <c r="C147" s="8" t="s">
        <v>291</v>
      </c>
      <c r="D147" s="53"/>
      <c r="E147" s="53"/>
      <c r="G147"/>
      <c r="H147"/>
      <c r="I147"/>
    </row>
    <row r="148" spans="1:9" s="1" customFormat="1" x14ac:dyDescent="0.25">
      <c r="A148" s="10"/>
      <c r="B148" s="10">
        <v>39904</v>
      </c>
      <c r="C148" s="8" t="s">
        <v>292</v>
      </c>
      <c r="D148" s="53"/>
      <c r="E148" s="53"/>
      <c r="G148"/>
      <c r="H148"/>
      <c r="I148"/>
    </row>
    <row r="149" spans="1:9" s="1" customFormat="1" x14ac:dyDescent="0.25">
      <c r="A149" s="10"/>
      <c r="B149" s="10">
        <v>39905</v>
      </c>
      <c r="C149" s="8" t="s">
        <v>293</v>
      </c>
      <c r="D149" s="53"/>
      <c r="E149" s="53"/>
      <c r="G149"/>
      <c r="H149"/>
      <c r="I149"/>
    </row>
    <row r="150" spans="1:9" s="1" customFormat="1" ht="26.25" x14ac:dyDescent="0.25">
      <c r="A150" s="51"/>
      <c r="B150" s="51">
        <v>4</v>
      </c>
      <c r="C150" s="63" t="s">
        <v>294</v>
      </c>
      <c r="D150" s="57">
        <f>SUM(D151:D161)</f>
        <v>0</v>
      </c>
      <c r="E150" s="57"/>
      <c r="G150"/>
      <c r="H150"/>
      <c r="I150"/>
    </row>
    <row r="151" spans="1:9" s="1" customFormat="1" x14ac:dyDescent="0.25">
      <c r="A151" s="10" t="s">
        <v>295</v>
      </c>
      <c r="B151" s="10">
        <v>41103</v>
      </c>
      <c r="C151" s="8" t="s">
        <v>296</v>
      </c>
      <c r="D151" s="53"/>
      <c r="E151" s="53"/>
      <c r="G151"/>
      <c r="H151"/>
      <c r="I151"/>
    </row>
    <row r="152" spans="1:9" s="1" customFormat="1" ht="30" x14ac:dyDescent="0.25">
      <c r="A152" s="10" t="s">
        <v>297</v>
      </c>
      <c r="B152" s="10">
        <v>41201</v>
      </c>
      <c r="C152" s="8" t="s">
        <v>298</v>
      </c>
      <c r="D152" s="53"/>
      <c r="E152" s="53"/>
      <c r="G152"/>
      <c r="H152"/>
      <c r="I152"/>
    </row>
    <row r="153" spans="1:9" s="1" customFormat="1" ht="30" x14ac:dyDescent="0.25">
      <c r="A153" s="10" t="s">
        <v>299</v>
      </c>
      <c r="B153" s="10">
        <v>41202</v>
      </c>
      <c r="C153" s="8" t="s">
        <v>300</v>
      </c>
      <c r="D153" s="53"/>
      <c r="E153" s="53"/>
      <c r="G153"/>
      <c r="H153"/>
      <c r="I153"/>
    </row>
    <row r="154" spans="1:9" s="1" customFormat="1" x14ac:dyDescent="0.25">
      <c r="A154" s="10"/>
      <c r="B154" s="10">
        <v>41401</v>
      </c>
      <c r="C154" s="8" t="s">
        <v>301</v>
      </c>
      <c r="D154" s="9"/>
      <c r="E154" s="9"/>
      <c r="G154"/>
      <c r="H154"/>
      <c r="I154"/>
    </row>
    <row r="155" spans="1:9" s="1" customFormat="1" x14ac:dyDescent="0.25">
      <c r="A155" s="10" t="s">
        <v>302</v>
      </c>
      <c r="B155" s="10">
        <v>41402</v>
      </c>
      <c r="C155" s="8" t="s">
        <v>303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41501</v>
      </c>
      <c r="C156" s="8" t="s">
        <v>304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41601</v>
      </c>
      <c r="C157" s="8" t="s">
        <v>305</v>
      </c>
      <c r="D157" s="9"/>
      <c r="E157" s="9"/>
      <c r="G157"/>
      <c r="H157"/>
      <c r="I157"/>
    </row>
    <row r="158" spans="1:9" s="1" customFormat="1" x14ac:dyDescent="0.25">
      <c r="A158" s="10"/>
      <c r="B158" s="10">
        <v>41605</v>
      </c>
      <c r="C158" s="8" t="s">
        <v>306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421105</v>
      </c>
      <c r="C159" s="8" t="s">
        <v>307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421903</v>
      </c>
      <c r="C160" s="8" t="s">
        <v>308</v>
      </c>
      <c r="D160" s="9"/>
      <c r="E160" s="9"/>
      <c r="G160"/>
      <c r="H160"/>
      <c r="I160"/>
    </row>
    <row r="161" spans="1:9" s="1" customFormat="1" x14ac:dyDescent="0.25">
      <c r="A161" s="10" t="s">
        <v>309</v>
      </c>
      <c r="B161" s="10">
        <v>44102</v>
      </c>
      <c r="C161" s="8" t="s">
        <v>310</v>
      </c>
      <c r="D161" s="9"/>
      <c r="E161" s="9"/>
      <c r="G161"/>
      <c r="H161"/>
      <c r="I161"/>
    </row>
    <row r="162" spans="1:9" s="1" customFormat="1" x14ac:dyDescent="0.25">
      <c r="A162" s="51"/>
      <c r="B162" s="51">
        <v>62501</v>
      </c>
      <c r="C162" s="52" t="s">
        <v>311</v>
      </c>
      <c r="D162" s="68"/>
      <c r="E162" s="68"/>
      <c r="G162"/>
      <c r="H162"/>
      <c r="I162"/>
    </row>
    <row r="163" spans="1:9" s="1" customFormat="1" x14ac:dyDescent="0.25">
      <c r="A163" s="51"/>
      <c r="B163" s="51" t="s">
        <v>312</v>
      </c>
      <c r="C163" s="52" t="s">
        <v>313</v>
      </c>
      <c r="D163" s="68"/>
      <c r="E163" s="68"/>
      <c r="G163"/>
      <c r="H163"/>
      <c r="I163"/>
    </row>
    <row r="164" spans="1:9" s="1" customFormat="1" x14ac:dyDescent="0.25">
      <c r="A164" s="10"/>
      <c r="B164" s="10"/>
      <c r="C164" s="8" t="s">
        <v>77</v>
      </c>
      <c r="D164" s="15"/>
      <c r="E164" s="62">
        <f>+E9-E16</f>
        <v>918387040.23000002</v>
      </c>
      <c r="G164"/>
      <c r="H164"/>
      <c r="I164"/>
    </row>
    <row r="165" spans="1:9" s="1" customFormat="1" x14ac:dyDescent="0.25">
      <c r="A165" s="10"/>
      <c r="B165" s="10" t="s">
        <v>314</v>
      </c>
      <c r="C165" s="8"/>
      <c r="D165" s="10"/>
      <c r="E165" s="10"/>
      <c r="G165"/>
      <c r="H165"/>
      <c r="I165"/>
    </row>
    <row r="166" spans="1:9" s="1" customFormat="1" x14ac:dyDescent="0.25">
      <c r="A166" s="10"/>
      <c r="B166" s="10"/>
      <c r="C166" s="8" t="s">
        <v>77</v>
      </c>
      <c r="D166" s="17"/>
      <c r="E166" s="10"/>
      <c r="G166"/>
      <c r="H166"/>
      <c r="I166"/>
    </row>
    <row r="167" spans="1:9" s="1" customFormat="1" x14ac:dyDescent="0.25">
      <c r="A167" s="10"/>
      <c r="B167" s="10"/>
      <c r="C167" s="8" t="s">
        <v>315</v>
      </c>
      <c r="D167" s="10"/>
      <c r="E167" s="17">
        <f>+D166</f>
        <v>0</v>
      </c>
      <c r="G167"/>
      <c r="H167"/>
      <c r="I167"/>
    </row>
    <row r="168" spans="1:9" s="1" customFormat="1" x14ac:dyDescent="0.25">
      <c r="A168" s="10"/>
      <c r="B168" s="10" t="s">
        <v>316</v>
      </c>
      <c r="C168" s="10"/>
      <c r="D168" s="10"/>
      <c r="E168" s="10"/>
      <c r="G168"/>
      <c r="H168"/>
      <c r="I168"/>
    </row>
    <row r="169" spans="1:9" s="1" customFormat="1" x14ac:dyDescent="0.25">
      <c r="A169" s="10"/>
      <c r="B169" s="10"/>
      <c r="C169" s="8" t="s">
        <v>42</v>
      </c>
      <c r="D169" s="17"/>
      <c r="E169" s="10"/>
      <c r="G169"/>
      <c r="H169"/>
      <c r="I169"/>
    </row>
    <row r="170" spans="1:9" s="1" customFormat="1" x14ac:dyDescent="0.25">
      <c r="A170" s="10"/>
      <c r="B170" s="10"/>
      <c r="C170" s="8" t="s">
        <v>315</v>
      </c>
      <c r="D170" s="10"/>
      <c r="E170" s="17">
        <f>+E167</f>
        <v>0</v>
      </c>
      <c r="G170"/>
      <c r="H170"/>
      <c r="I170"/>
    </row>
    <row r="171" spans="1:9" s="1" customFormat="1" x14ac:dyDescent="0.25">
      <c r="A171" s="10"/>
      <c r="B171" s="10" t="s">
        <v>317</v>
      </c>
      <c r="C171" s="10"/>
      <c r="D171" s="10"/>
      <c r="E171" s="10"/>
      <c r="G171"/>
      <c r="H171"/>
      <c r="I171"/>
    </row>
    <row r="172" spans="1:9" s="1" customFormat="1" x14ac:dyDescent="0.25">
      <c r="A172" s="51"/>
      <c r="B172" s="97" t="s">
        <v>318</v>
      </c>
      <c r="C172" s="98"/>
      <c r="D172" s="66">
        <f>+E9-E16</f>
        <v>918387040.23000002</v>
      </c>
      <c r="E172" s="67">
        <f>+E170</f>
        <v>0</v>
      </c>
      <c r="G172"/>
      <c r="H172"/>
      <c r="I172"/>
    </row>
    <row r="176" spans="1:9" s="1" customFormat="1" x14ac:dyDescent="0.25">
      <c r="A176"/>
      <c r="B176"/>
      <c r="C176"/>
      <c r="D176"/>
      <c r="E176" s="37"/>
      <c r="G176"/>
      <c r="H176"/>
      <c r="I176"/>
    </row>
    <row r="177" spans="1:9" s="1" customFormat="1" x14ac:dyDescent="0.25">
      <c r="A177"/>
      <c r="B177"/>
      <c r="C177"/>
      <c r="D177"/>
      <c r="E177" s="37"/>
      <c r="G177"/>
      <c r="H177"/>
      <c r="I177"/>
    </row>
    <row r="180" spans="1:9" s="1" customFormat="1" ht="26.25" x14ac:dyDescent="0.25">
      <c r="A180" s="23" t="s">
        <v>319</v>
      </c>
      <c r="B180" s="11">
        <v>6</v>
      </c>
      <c r="C180" s="5" t="s">
        <v>320</v>
      </c>
      <c r="D180" s="12">
        <f>SUM(D181:D202)</f>
        <v>0</v>
      </c>
      <c r="E180" s="19"/>
      <c r="G180"/>
      <c r="H180"/>
      <c r="I180"/>
    </row>
    <row r="181" spans="1:9" s="1" customFormat="1" x14ac:dyDescent="0.25">
      <c r="A181" s="26">
        <v>1206010007</v>
      </c>
      <c r="B181" s="10">
        <v>61101</v>
      </c>
      <c r="C181" s="8" t="s">
        <v>321</v>
      </c>
      <c r="D181" s="53"/>
      <c r="E181" s="20"/>
      <c r="G181"/>
      <c r="H181"/>
      <c r="I181"/>
    </row>
    <row r="182" spans="1:9" s="1" customFormat="1" x14ac:dyDescent="0.25">
      <c r="A182" s="26">
        <v>1206010004</v>
      </c>
      <c r="B182" s="10">
        <v>61301</v>
      </c>
      <c r="C182" s="8" t="s">
        <v>322</v>
      </c>
      <c r="D182" s="53"/>
      <c r="E182" s="20"/>
      <c r="G182"/>
      <c r="H182"/>
      <c r="I182"/>
    </row>
    <row r="183" spans="1:9" s="1" customFormat="1" x14ac:dyDescent="0.25">
      <c r="A183" s="26">
        <v>1206010007</v>
      </c>
      <c r="B183" s="10">
        <v>61401</v>
      </c>
      <c r="C183" s="8" t="s">
        <v>323</v>
      </c>
      <c r="D183" s="53"/>
      <c r="E183" s="20"/>
      <c r="G183"/>
      <c r="H183"/>
      <c r="I183"/>
    </row>
    <row r="184" spans="1:9" s="1" customFormat="1" ht="30" x14ac:dyDescent="0.25">
      <c r="A184" s="26">
        <v>1206010001</v>
      </c>
      <c r="B184" s="10">
        <v>61901</v>
      </c>
      <c r="C184" s="8" t="s">
        <v>324</v>
      </c>
      <c r="D184" s="53"/>
      <c r="E184" s="20"/>
      <c r="G184"/>
      <c r="H184"/>
      <c r="I184"/>
    </row>
    <row r="185" spans="1:9" s="1" customFormat="1" x14ac:dyDescent="0.25">
      <c r="A185" s="26">
        <v>1206010002</v>
      </c>
      <c r="B185" s="10">
        <v>62101</v>
      </c>
      <c r="C185" s="8" t="s">
        <v>325</v>
      </c>
      <c r="D185" s="53"/>
      <c r="E185" s="20"/>
      <c r="G185"/>
      <c r="H185"/>
      <c r="I185"/>
    </row>
    <row r="186" spans="1:9" s="1" customFormat="1" x14ac:dyDescent="0.25">
      <c r="A186" s="26">
        <v>1206010002</v>
      </c>
      <c r="B186" s="10">
        <v>62301</v>
      </c>
      <c r="C186" s="8" t="s">
        <v>326</v>
      </c>
      <c r="D186" s="53"/>
      <c r="E186" s="20"/>
      <c r="G186"/>
      <c r="H186"/>
      <c r="I186"/>
    </row>
    <row r="187" spans="1:9" s="1" customFormat="1" x14ac:dyDescent="0.25">
      <c r="A187" s="26"/>
      <c r="B187" s="10">
        <v>63201</v>
      </c>
      <c r="C187" s="8" t="s">
        <v>327</v>
      </c>
      <c r="D187" s="53"/>
      <c r="E187" s="20"/>
      <c r="G187"/>
      <c r="H187"/>
      <c r="I187"/>
    </row>
    <row r="188" spans="1:9" s="1" customFormat="1" ht="30" x14ac:dyDescent="0.25">
      <c r="A188" s="26"/>
      <c r="B188" s="10">
        <v>63401</v>
      </c>
      <c r="C188" s="8" t="s">
        <v>328</v>
      </c>
      <c r="D188" s="53"/>
      <c r="E188" s="20"/>
      <c r="G188"/>
      <c r="H188"/>
      <c r="I188"/>
    </row>
    <row r="189" spans="1:9" s="1" customFormat="1" x14ac:dyDescent="0.25">
      <c r="A189" s="26">
        <v>1206010003</v>
      </c>
      <c r="B189" s="10">
        <v>64101</v>
      </c>
      <c r="C189" s="8" t="s">
        <v>329</v>
      </c>
      <c r="D189" s="53"/>
      <c r="E189" s="20"/>
      <c r="G189"/>
      <c r="H189"/>
      <c r="I189"/>
    </row>
    <row r="190" spans="1:9" s="1" customFormat="1" x14ac:dyDescent="0.25">
      <c r="A190" s="26"/>
      <c r="B190" s="10">
        <v>64601</v>
      </c>
      <c r="C190" s="8" t="s">
        <v>330</v>
      </c>
      <c r="D190" s="53"/>
      <c r="E190" s="20"/>
      <c r="G190"/>
      <c r="H190"/>
      <c r="I190"/>
    </row>
    <row r="191" spans="1:9" s="1" customFormat="1" x14ac:dyDescent="0.25">
      <c r="A191" s="26"/>
      <c r="B191" s="51">
        <v>64701</v>
      </c>
      <c r="C191" s="52" t="s">
        <v>331</v>
      </c>
      <c r="D191" s="53"/>
      <c r="E191" s="20"/>
      <c r="G191"/>
      <c r="H191"/>
      <c r="I191"/>
    </row>
    <row r="192" spans="1:9" s="1" customFormat="1" x14ac:dyDescent="0.25">
      <c r="A192" s="26">
        <v>1206010003</v>
      </c>
      <c r="B192" s="51">
        <v>64801</v>
      </c>
      <c r="C192" s="52" t="s">
        <v>332</v>
      </c>
      <c r="D192" s="53"/>
      <c r="E192" s="20"/>
      <c r="G192"/>
      <c r="H192"/>
      <c r="I192"/>
    </row>
    <row r="193" spans="1:9" s="1" customFormat="1" x14ac:dyDescent="0.25">
      <c r="A193" s="26">
        <v>1206010001</v>
      </c>
      <c r="B193" s="10">
        <v>65201</v>
      </c>
      <c r="C193" s="8" t="s">
        <v>333</v>
      </c>
      <c r="D193" s="53"/>
      <c r="E193" s="20"/>
      <c r="G193"/>
      <c r="H193"/>
      <c r="I193"/>
    </row>
    <row r="194" spans="1:9" s="1" customFormat="1" x14ac:dyDescent="0.25">
      <c r="A194" s="26">
        <v>1206010001</v>
      </c>
      <c r="B194" s="10">
        <v>65401</v>
      </c>
      <c r="C194" s="8" t="s">
        <v>334</v>
      </c>
      <c r="D194" s="53"/>
      <c r="E194" s="20"/>
      <c r="G194"/>
      <c r="H194"/>
      <c r="I194"/>
    </row>
    <row r="195" spans="1:9" s="1" customFormat="1" x14ac:dyDescent="0.25">
      <c r="A195" s="26">
        <v>1206010006</v>
      </c>
      <c r="B195" s="10">
        <v>65501</v>
      </c>
      <c r="C195" s="8" t="s">
        <v>335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65601</v>
      </c>
      <c r="C196" s="8" t="s">
        <v>336</v>
      </c>
      <c r="D196" s="53"/>
      <c r="E196" s="20"/>
      <c r="G196"/>
      <c r="H196"/>
      <c r="I196"/>
    </row>
    <row r="197" spans="1:9" s="1" customFormat="1" x14ac:dyDescent="0.25">
      <c r="A197" s="26">
        <v>1206010008</v>
      </c>
      <c r="B197" s="10">
        <v>65701</v>
      </c>
      <c r="C197" s="8" t="s">
        <v>337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65801</v>
      </c>
      <c r="C198" s="8" t="s">
        <v>338</v>
      </c>
      <c r="D198" s="53"/>
      <c r="E198" s="20"/>
      <c r="G198"/>
      <c r="H198"/>
      <c r="I198"/>
    </row>
    <row r="199" spans="1:9" s="1" customFormat="1" x14ac:dyDescent="0.25">
      <c r="A199" s="26">
        <v>1206980001</v>
      </c>
      <c r="B199" s="10">
        <v>66201</v>
      </c>
      <c r="C199" s="8" t="s">
        <v>339</v>
      </c>
      <c r="D199" s="53"/>
      <c r="E199" s="20"/>
      <c r="G199"/>
      <c r="H199"/>
      <c r="I199"/>
    </row>
    <row r="200" spans="1:9" s="1" customFormat="1" x14ac:dyDescent="0.25">
      <c r="A200" s="26">
        <v>1208010003</v>
      </c>
      <c r="B200" s="10">
        <v>68301</v>
      </c>
      <c r="C200" s="8" t="s">
        <v>340</v>
      </c>
      <c r="D200" s="53"/>
      <c r="E200" s="20"/>
      <c r="G200"/>
      <c r="H200"/>
      <c r="I200"/>
    </row>
    <row r="201" spans="1:9" s="1" customFormat="1" x14ac:dyDescent="0.25">
      <c r="A201" s="26">
        <v>1206020002</v>
      </c>
      <c r="B201" s="10">
        <v>69201</v>
      </c>
      <c r="C201" s="8" t="s">
        <v>341</v>
      </c>
      <c r="D201" s="9"/>
      <c r="E201" s="20"/>
      <c r="G201"/>
      <c r="H201"/>
      <c r="I201"/>
    </row>
    <row r="202" spans="1:9" s="1" customFormat="1" x14ac:dyDescent="0.25">
      <c r="A202" s="26">
        <v>1206980004</v>
      </c>
      <c r="B202" s="10">
        <v>69502</v>
      </c>
      <c r="C202" s="8" t="s">
        <v>342</v>
      </c>
      <c r="D202" s="9"/>
      <c r="E202" s="20"/>
      <c r="G202"/>
      <c r="H202"/>
      <c r="I202"/>
    </row>
    <row r="203" spans="1:9" s="1" customFormat="1" x14ac:dyDescent="0.25">
      <c r="A203" s="27"/>
      <c r="B203" s="51">
        <v>7</v>
      </c>
      <c r="C203" s="63" t="s">
        <v>343</v>
      </c>
      <c r="D203" s="57">
        <f>SUM(D204:D205)</f>
        <v>0</v>
      </c>
      <c r="E203" s="25"/>
      <c r="G203"/>
      <c r="H203"/>
      <c r="I203"/>
    </row>
    <row r="204" spans="1:9" s="1" customFormat="1" ht="30" x14ac:dyDescent="0.25">
      <c r="A204" s="27" t="s">
        <v>344</v>
      </c>
      <c r="B204" s="10">
        <v>71201</v>
      </c>
      <c r="C204" s="8" t="s">
        <v>345</v>
      </c>
      <c r="D204" s="24"/>
      <c r="E204" s="25"/>
      <c r="G204"/>
      <c r="H204"/>
      <c r="I204"/>
    </row>
    <row r="205" spans="1:9" s="1" customFormat="1" x14ac:dyDescent="0.25">
      <c r="A205" s="27" t="s">
        <v>346</v>
      </c>
      <c r="B205" s="10">
        <v>71501</v>
      </c>
      <c r="C205" s="8" t="s">
        <v>347</v>
      </c>
      <c r="D205" s="24"/>
      <c r="E205" s="25"/>
      <c r="G205"/>
      <c r="H205"/>
      <c r="I205"/>
    </row>
    <row r="206" spans="1:9" s="1" customFormat="1" x14ac:dyDescent="0.25">
      <c r="A206" s="72"/>
      <c r="B206" s="51"/>
      <c r="C206" s="52"/>
      <c r="D206" s="71">
        <f>+D180+D203</f>
        <v>0</v>
      </c>
      <c r="E206" s="19"/>
      <c r="G206"/>
      <c r="H206"/>
      <c r="I206"/>
    </row>
    <row r="207" spans="1:9" s="1" customFormat="1" x14ac:dyDescent="0.25">
      <c r="A207"/>
      <c r="B207"/>
      <c r="C207" s="2" t="s">
        <v>348</v>
      </c>
      <c r="E207" s="21"/>
      <c r="G207"/>
      <c r="H207"/>
      <c r="I207"/>
    </row>
    <row r="208" spans="1:9" s="1" customFormat="1" x14ac:dyDescent="0.25">
      <c r="A208"/>
      <c r="B208"/>
      <c r="C208" s="2" t="s">
        <v>349</v>
      </c>
      <c r="E208" s="21"/>
      <c r="G208"/>
      <c r="H208"/>
      <c r="I208"/>
    </row>
    <row r="209" spans="1:9" s="1" customFormat="1" x14ac:dyDescent="0.25">
      <c r="A209"/>
      <c r="B209"/>
      <c r="C209"/>
      <c r="D209"/>
      <c r="E209" s="22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  <row r="211" spans="1:9" s="1" customFormat="1" x14ac:dyDescent="0.25">
      <c r="A211"/>
      <c r="B211"/>
      <c r="C211"/>
      <c r="D211"/>
      <c r="G211"/>
      <c r="H211"/>
      <c r="I211"/>
    </row>
  </sheetData>
  <mergeCells count="8">
    <mergeCell ref="B172:C172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2" max="4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topLeftCell="A6" workbookViewId="0">
      <selection activeCell="Z18" sqref="Z18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6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390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379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89" t="s">
        <v>14</v>
      </c>
    </row>
    <row r="9" spans="1:27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22</v>
      </c>
      <c r="Z10" s="37"/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>
        <v>1209318409.8299999</v>
      </c>
    </row>
    <row r="12" spans="1:27" x14ac:dyDescent="0.25">
      <c r="A12" t="s">
        <v>385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308271960.92000002</v>
      </c>
    </row>
    <row r="13" spans="1:27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37">
        <v>21158731.190000001</v>
      </c>
    </row>
    <row r="14" spans="1:27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v>0</v>
      </c>
    </row>
    <row r="15" spans="1:27" ht="15.75" thickBot="1" x14ac:dyDescent="0.3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31">
        <f>SUM(Z11:Z14)</f>
        <v>1538749101.9400001</v>
      </c>
    </row>
    <row r="16" spans="1:27" ht="15.75" thickTop="1" x14ac:dyDescent="0.25">
      <c r="Z16" s="37"/>
    </row>
    <row r="17" spans="1:27" x14ac:dyDescent="0.25">
      <c r="A17" s="90" t="s">
        <v>28</v>
      </c>
      <c r="Z17" s="37"/>
    </row>
    <row r="18" spans="1:27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7">
        <v>513158396.16000003</v>
      </c>
    </row>
    <row r="19" spans="1:27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37">
        <v>64819607.780000001</v>
      </c>
      <c r="AA19" s="37"/>
    </row>
    <row r="20" spans="1:27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175946564.56</v>
      </c>
      <c r="AA20" s="39"/>
    </row>
    <row r="21" spans="1:27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7">
        <v>45835040.829999998</v>
      </c>
    </row>
    <row r="22" spans="1:27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799759609.33000004</v>
      </c>
    </row>
    <row r="23" spans="1:27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2338508711.27</v>
      </c>
    </row>
    <row r="24" spans="1:27" ht="15.75" thickTop="1" x14ac:dyDescent="0.25"/>
    <row r="25" spans="1:27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22</v>
      </c>
      <c r="Z26" s="37"/>
    </row>
    <row r="27" spans="1:27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8707.25</v>
      </c>
    </row>
    <row r="28" spans="1:27" x14ac:dyDescent="0.25">
      <c r="A28" t="s">
        <v>37</v>
      </c>
      <c r="Z28" s="37">
        <v>7980357.9699999997</v>
      </c>
    </row>
    <row r="29" spans="1:27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7"/>
    </row>
    <row r="30" spans="1:27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7989065.2199999997</v>
      </c>
    </row>
    <row r="32" spans="1:27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7989065.2199999997</v>
      </c>
      <c r="AD33" s="37"/>
      <c r="AE33" s="1"/>
    </row>
    <row r="35" spans="1:31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-431566091.75+101734502.89+29725876.87-6268.42+257872731.82+148409315.1-45308697.06+196309813.85+461974168.18+282323879.36</f>
        <v>1001469230.84</v>
      </c>
      <c r="AD39" s="37"/>
    </row>
    <row r="40" spans="1:31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2330519646.0499997</v>
      </c>
      <c r="AE40" s="37"/>
    </row>
    <row r="41" spans="1:31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Y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>+Z33+Z40</f>
        <v>2338508711.2699995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380</v>
      </c>
      <c r="G45" s="1">
        <f>+G41-G23</f>
        <v>0</v>
      </c>
    </row>
    <row r="46" spans="1:31" x14ac:dyDescent="0.25">
      <c r="A46" s="92" t="s">
        <v>381</v>
      </c>
    </row>
    <row r="47" spans="1:31" x14ac:dyDescent="0.25">
      <c r="A47" t="s">
        <v>52</v>
      </c>
    </row>
    <row r="48" spans="1:31" x14ac:dyDescent="0.25">
      <c r="A48" s="91" t="s">
        <v>53</v>
      </c>
    </row>
    <row r="49" spans="1:1" x14ac:dyDescent="0.25">
      <c r="A49" s="92" t="s">
        <v>54</v>
      </c>
    </row>
    <row r="260" spans="27:27" x14ac:dyDescent="0.25">
      <c r="AA260" t="s">
        <v>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workbookViewId="0">
      <selection activeCell="Z19" sqref="Z1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24.42578125" customWidth="1"/>
    <col min="30" max="30" width="18" customWidth="1"/>
    <col min="31" max="31" width="15.140625" bestFit="1" customWidth="1"/>
  </cols>
  <sheetData>
    <row r="1" spans="1:27" ht="18.75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391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379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89" t="s">
        <v>15</v>
      </c>
    </row>
    <row r="9" spans="1:27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22</v>
      </c>
      <c r="Z10" s="37"/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>
        <v>1326239466.6300001</v>
      </c>
    </row>
    <row r="12" spans="1:27" x14ac:dyDescent="0.25">
      <c r="A12" t="s">
        <v>385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83379901.650000006</v>
      </c>
    </row>
    <row r="13" spans="1:27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37">
        <v>15442617.9</v>
      </c>
    </row>
    <row r="14" spans="1:27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v>0</v>
      </c>
    </row>
    <row r="15" spans="1:27" ht="15.75" thickBot="1" x14ac:dyDescent="0.3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31">
        <f>SUM(Z11:Z14)</f>
        <v>1425061986.1800003</v>
      </c>
    </row>
    <row r="16" spans="1:27" ht="15.75" thickTop="1" x14ac:dyDescent="0.25">
      <c r="Z16" s="37"/>
    </row>
    <row r="17" spans="1:28" x14ac:dyDescent="0.25">
      <c r="A17" s="90" t="s">
        <v>28</v>
      </c>
      <c r="Z17" s="37"/>
    </row>
    <row r="18" spans="1:28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7">
        <v>523255200.5</v>
      </c>
    </row>
    <row r="19" spans="1:28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37">
        <v>64819607.780000001</v>
      </c>
      <c r="AA19" s="37"/>
    </row>
    <row r="20" spans="1:28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177975481.19</v>
      </c>
      <c r="AA20" s="39"/>
    </row>
    <row r="21" spans="1:28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7">
        <v>46551453.039999999</v>
      </c>
      <c r="AB21" s="37"/>
    </row>
    <row r="22" spans="1:28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812601742.50999999</v>
      </c>
      <c r="AB22" s="37"/>
    </row>
    <row r="23" spans="1:28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2237663728.6900005</v>
      </c>
      <c r="AB23" s="37"/>
    </row>
    <row r="24" spans="1:28" ht="15.75" thickTop="1" x14ac:dyDescent="0.25"/>
    <row r="25" spans="1:28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8" x14ac:dyDescent="0.25">
      <c r="A26" t="s">
        <v>22</v>
      </c>
      <c r="Z26" s="37"/>
    </row>
    <row r="27" spans="1:28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11365.82</v>
      </c>
    </row>
    <row r="28" spans="1:28" x14ac:dyDescent="0.25">
      <c r="A28" t="s">
        <v>37</v>
      </c>
      <c r="Z28" s="37">
        <v>8068024.0499999998</v>
      </c>
    </row>
    <row r="29" spans="1:28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7">
        <v>0</v>
      </c>
    </row>
    <row r="30" spans="1:28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8079389.8700000001</v>
      </c>
    </row>
    <row r="32" spans="1:28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8079389.8700000001</v>
      </c>
      <c r="AD33" s="37"/>
      <c r="AE33" s="1"/>
    </row>
    <row r="35" spans="1:31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-431566091.75+101734502.89+29725876.87-6268.42+257872731.82+148409315.1-45308697.06+196309813.85+461974168.18+282323879.36+899664692.77-1000600000</f>
        <v>900533923.61000013</v>
      </c>
      <c r="AD39" s="37"/>
    </row>
    <row r="40" spans="1:31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2229584338.8199997</v>
      </c>
      <c r="AE40" s="37"/>
    </row>
    <row r="41" spans="1:31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Y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>+Z33+Z40</f>
        <v>2237663728.6899996</v>
      </c>
      <c r="AA41" s="37"/>
      <c r="AB41" s="37"/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380</v>
      </c>
      <c r="G45" s="1">
        <f>+G41-G23</f>
        <v>0</v>
      </c>
    </row>
    <row r="46" spans="1:31" x14ac:dyDescent="0.25">
      <c r="A46" s="92" t="s">
        <v>381</v>
      </c>
    </row>
    <row r="47" spans="1:31" x14ac:dyDescent="0.25">
      <c r="A47" t="s">
        <v>52</v>
      </c>
    </row>
    <row r="48" spans="1:31" x14ac:dyDescent="0.25">
      <c r="A48" s="91" t="s">
        <v>53</v>
      </c>
    </row>
    <row r="49" spans="1:1" x14ac:dyDescent="0.25">
      <c r="A49" s="92" t="s">
        <v>54</v>
      </c>
    </row>
    <row r="260" spans="27:27" x14ac:dyDescent="0.25">
      <c r="AA260" t="s">
        <v>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view="pageBreakPreview" topLeftCell="A130" zoomScale="60" zoomScaleNormal="100" workbookViewId="0">
      <selection activeCell="C222" sqref="C222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7" max="7" width="16" bestFit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392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/>
      <c r="E9" s="71"/>
    </row>
    <row r="10" spans="1:7" x14ac:dyDescent="0.25">
      <c r="A10" s="10" t="s">
        <v>64</v>
      </c>
      <c r="B10" s="7" t="s">
        <v>65</v>
      </c>
      <c r="C10" s="8" t="s">
        <v>383</v>
      </c>
      <c r="D10" s="53"/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/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0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93"/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4" t="s">
        <v>77</v>
      </c>
      <c r="D15" s="9"/>
      <c r="E15" s="85">
        <f>SUM(D10:D14)</f>
        <v>0</v>
      </c>
    </row>
    <row r="16" spans="1:7" x14ac:dyDescent="0.25">
      <c r="A16" s="51"/>
      <c r="B16" s="51"/>
      <c r="C16" s="83" t="s">
        <v>78</v>
      </c>
      <c r="D16" s="64">
        <f>+D17+D43+D102+D156+D183+D207</f>
        <v>78791888.060000017</v>
      </c>
      <c r="E16" s="64">
        <f>+D16</f>
        <v>78791888.060000017</v>
      </c>
    </row>
    <row r="17" spans="1:9" x14ac:dyDescent="0.25">
      <c r="A17" s="51"/>
      <c r="B17" s="69">
        <v>1</v>
      </c>
      <c r="C17" s="63" t="s">
        <v>79</v>
      </c>
      <c r="D17" s="57">
        <f>SUM(D18:D42)</f>
        <v>62611117.019999996</v>
      </c>
      <c r="E17" s="57" t="s">
        <v>3</v>
      </c>
    </row>
    <row r="18" spans="1:9" ht="18" customHeight="1" x14ac:dyDescent="0.25">
      <c r="A18" s="51" t="s">
        <v>80</v>
      </c>
      <c r="B18" s="51">
        <v>11101</v>
      </c>
      <c r="C18" s="52" t="s">
        <v>81</v>
      </c>
      <c r="D18" s="53">
        <f>19619936.2+1100000</f>
        <v>20719936.199999999</v>
      </c>
      <c r="E18" s="53"/>
    </row>
    <row r="19" spans="1:9" ht="18" customHeight="1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ht="18" customHeight="1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ht="18" customHeight="1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18" customHeight="1" x14ac:dyDescent="0.25">
      <c r="A22" s="10" t="s">
        <v>88</v>
      </c>
      <c r="B22" s="10">
        <v>11205</v>
      </c>
      <c r="C22" s="8" t="s">
        <v>89</v>
      </c>
      <c r="D22" s="65"/>
      <c r="E22" s="9"/>
    </row>
    <row r="23" spans="1:9" ht="18" customHeight="1" x14ac:dyDescent="0.25">
      <c r="A23" s="10"/>
      <c r="B23" s="10">
        <v>11208</v>
      </c>
      <c r="C23" s="8" t="s">
        <v>90</v>
      </c>
      <c r="D23" s="65">
        <v>7137000</v>
      </c>
      <c r="E23" s="9"/>
    </row>
    <row r="24" spans="1:9" ht="18" customHeight="1" x14ac:dyDescent="0.25">
      <c r="A24" s="10"/>
      <c r="B24" s="10">
        <v>11210</v>
      </c>
      <c r="C24" s="8" t="s">
        <v>91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92</v>
      </c>
      <c r="D25" s="53">
        <v>91000</v>
      </c>
      <c r="E25" s="53"/>
    </row>
    <row r="26" spans="1:9" ht="18" customHeight="1" x14ac:dyDescent="0.25">
      <c r="A26" s="10" t="s">
        <v>93</v>
      </c>
      <c r="B26" s="10">
        <v>11401</v>
      </c>
      <c r="C26" s="8" t="s">
        <v>370</v>
      </c>
      <c r="D26" s="53">
        <f>27577716.74+937500.03</f>
        <v>28515216.77</v>
      </c>
      <c r="E26" s="53"/>
    </row>
    <row r="27" spans="1:9" ht="18" customHeight="1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97</v>
      </c>
      <c r="D28" s="53">
        <v>240000</v>
      </c>
      <c r="E28" s="53"/>
    </row>
    <row r="29" spans="1:9" ht="18" customHeight="1" x14ac:dyDescent="0.25">
      <c r="A29" s="10"/>
      <c r="B29" s="10">
        <v>11504</v>
      </c>
      <c r="C29" s="8" t="s">
        <v>98</v>
      </c>
      <c r="D29" s="53">
        <v>193262.58</v>
      </c>
      <c r="E29" s="53"/>
    </row>
    <row r="30" spans="1:9" ht="18" customHeight="1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100</v>
      </c>
      <c r="D31" s="53"/>
      <c r="E31" s="53"/>
    </row>
    <row r="32" spans="1:9" ht="18" customHeight="1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6" ht="18" customHeight="1" x14ac:dyDescent="0.25">
      <c r="A33" s="10" t="s">
        <v>103</v>
      </c>
      <c r="B33" s="10">
        <v>12205</v>
      </c>
      <c r="C33" s="8" t="s">
        <v>104</v>
      </c>
      <c r="D33" s="53">
        <v>1480000</v>
      </c>
      <c r="E33" s="53"/>
    </row>
    <row r="34" spans="1:6" ht="18" customHeight="1" x14ac:dyDescent="0.25">
      <c r="A34" s="10" t="s">
        <v>105</v>
      </c>
      <c r="B34" s="10">
        <v>12206</v>
      </c>
      <c r="C34" s="8" t="s">
        <v>106</v>
      </c>
      <c r="D34" s="53"/>
      <c r="E34" s="53"/>
    </row>
    <row r="35" spans="1:6" ht="18" customHeight="1" x14ac:dyDescent="0.25">
      <c r="A35" s="10" t="s">
        <v>107</v>
      </c>
      <c r="B35" s="10">
        <v>12209</v>
      </c>
      <c r="C35" s="8" t="s">
        <v>108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109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100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110</v>
      </c>
      <c r="D38" s="53"/>
      <c r="E38" s="53"/>
    </row>
    <row r="39" spans="1:6" ht="18" customHeight="1" x14ac:dyDescent="0.25">
      <c r="A39" s="10" t="s">
        <v>111</v>
      </c>
      <c r="B39" s="10">
        <v>13101</v>
      </c>
      <c r="C39" s="8" t="s">
        <v>112</v>
      </c>
      <c r="D39" s="53"/>
      <c r="E39" s="53"/>
    </row>
    <row r="40" spans="1:6" ht="18" customHeight="1" x14ac:dyDescent="0.25">
      <c r="A40" s="10" t="s">
        <v>113</v>
      </c>
      <c r="B40" s="10">
        <v>15101</v>
      </c>
      <c r="C40" s="8" t="s">
        <v>114</v>
      </c>
      <c r="D40" s="54">
        <f>1896260.29+77990</f>
        <v>1974250.29</v>
      </c>
      <c r="E40" s="53"/>
    </row>
    <row r="41" spans="1:6" ht="18" customHeight="1" x14ac:dyDescent="0.25">
      <c r="A41" s="10" t="s">
        <v>115</v>
      </c>
      <c r="B41" s="10">
        <v>15201</v>
      </c>
      <c r="C41" s="8" t="s">
        <v>116</v>
      </c>
      <c r="D41" s="53">
        <f>1906203.48+78100</f>
        <v>1984303.48</v>
      </c>
      <c r="E41" s="53"/>
    </row>
    <row r="42" spans="1:6" ht="18" customHeight="1" x14ac:dyDescent="0.25">
      <c r="A42" s="10"/>
      <c r="B42" s="10">
        <v>15301</v>
      </c>
      <c r="C42" s="8" t="s">
        <v>117</v>
      </c>
      <c r="D42" s="53">
        <f>264047.7+12100</f>
        <v>276147.7</v>
      </c>
      <c r="E42" s="53"/>
    </row>
    <row r="43" spans="1:6" ht="18" customHeight="1" x14ac:dyDescent="0.25">
      <c r="A43" s="51"/>
      <c r="B43" s="69">
        <v>2</v>
      </c>
      <c r="C43" s="63" t="s">
        <v>118</v>
      </c>
      <c r="D43" s="57">
        <f>SUM(D44:D101)</f>
        <v>8127368.04</v>
      </c>
      <c r="E43" s="57"/>
    </row>
    <row r="44" spans="1:6" ht="18" customHeight="1" x14ac:dyDescent="0.25">
      <c r="A44" s="10" t="s">
        <v>119</v>
      </c>
      <c r="B44" s="10">
        <v>21201</v>
      </c>
      <c r="C44" s="8" t="s">
        <v>120</v>
      </c>
      <c r="D44" s="54">
        <v>227141.9</v>
      </c>
      <c r="E44" s="53"/>
    </row>
    <row r="45" spans="1:6" ht="18" customHeight="1" x14ac:dyDescent="0.25">
      <c r="A45" s="10" t="s">
        <v>121</v>
      </c>
      <c r="B45" s="10">
        <v>21301</v>
      </c>
      <c r="C45" s="8" t="s">
        <v>122</v>
      </c>
      <c r="D45" s="53">
        <v>37250.32</v>
      </c>
      <c r="E45" s="53"/>
    </row>
    <row r="46" spans="1:6" ht="18" customHeight="1" x14ac:dyDescent="0.25">
      <c r="A46" s="10" t="s">
        <v>123</v>
      </c>
      <c r="B46" s="10">
        <v>21401</v>
      </c>
      <c r="C46" s="8" t="s">
        <v>124</v>
      </c>
      <c r="D46" s="53">
        <v>3530</v>
      </c>
      <c r="E46" s="53"/>
    </row>
    <row r="47" spans="1:6" ht="18" customHeight="1" x14ac:dyDescent="0.25">
      <c r="A47" s="10" t="s">
        <v>125</v>
      </c>
      <c r="B47" s="10">
        <v>21501</v>
      </c>
      <c r="C47" s="8" t="s">
        <v>126</v>
      </c>
      <c r="D47" s="53">
        <v>1626407.05</v>
      </c>
      <c r="E47" s="53"/>
      <c r="F47"/>
    </row>
    <row r="48" spans="1:6" ht="18" customHeight="1" x14ac:dyDescent="0.25">
      <c r="A48" s="10" t="s">
        <v>127</v>
      </c>
      <c r="B48" s="10">
        <v>21601</v>
      </c>
      <c r="C48" s="8" t="s">
        <v>128</v>
      </c>
      <c r="D48" s="53">
        <v>552740.13</v>
      </c>
      <c r="E48" s="53"/>
      <c r="F48"/>
    </row>
    <row r="49" spans="1:6" ht="18" customHeight="1" x14ac:dyDescent="0.25">
      <c r="A49" s="10" t="s">
        <v>129</v>
      </c>
      <c r="B49" s="10">
        <v>21701</v>
      </c>
      <c r="C49" s="8" t="s">
        <v>130</v>
      </c>
      <c r="D49" s="53">
        <f>15510+22178</f>
        <v>37688</v>
      </c>
      <c r="E49" s="53"/>
      <c r="F49"/>
    </row>
    <row r="50" spans="1:6" ht="18" customHeight="1" x14ac:dyDescent="0.25">
      <c r="A50" s="10" t="s">
        <v>131</v>
      </c>
      <c r="B50" s="10">
        <v>21801</v>
      </c>
      <c r="C50" s="8" t="s">
        <v>132</v>
      </c>
      <c r="D50" s="53">
        <f>2600+5991+1000</f>
        <v>9591</v>
      </c>
      <c r="E50" s="53"/>
      <c r="F50"/>
    </row>
    <row r="51" spans="1:6" ht="18" customHeight="1" x14ac:dyDescent="0.25">
      <c r="A51" s="10" t="s">
        <v>133</v>
      </c>
      <c r="B51" s="10">
        <v>22101</v>
      </c>
      <c r="C51" s="8" t="s">
        <v>134</v>
      </c>
      <c r="D51" s="53">
        <f>416666.7+41666.67</f>
        <v>458333.37</v>
      </c>
      <c r="E51" s="53"/>
      <c r="F51"/>
    </row>
    <row r="52" spans="1:6" ht="18" customHeight="1" x14ac:dyDescent="0.25">
      <c r="A52" s="10"/>
      <c r="B52" s="10">
        <v>22103</v>
      </c>
      <c r="C52" s="8" t="s">
        <v>371</v>
      </c>
      <c r="D52" s="53">
        <v>67249.990000000005</v>
      </c>
      <c r="E52" s="53"/>
      <c r="F52"/>
    </row>
    <row r="53" spans="1:6" ht="18" customHeight="1" x14ac:dyDescent="0.25">
      <c r="A53" s="10" t="s">
        <v>135</v>
      </c>
      <c r="B53" s="10">
        <v>22201</v>
      </c>
      <c r="C53" s="8" t="s">
        <v>136</v>
      </c>
      <c r="D53" s="53">
        <f>423996.42+1515</f>
        <v>425511.42</v>
      </c>
      <c r="E53" s="53"/>
      <c r="F53"/>
    </row>
    <row r="54" spans="1:6" ht="18" customHeight="1" x14ac:dyDescent="0.25">
      <c r="A54" s="10" t="s">
        <v>137</v>
      </c>
      <c r="B54" s="10">
        <v>23101</v>
      </c>
      <c r="C54" s="8" t="s">
        <v>138</v>
      </c>
      <c r="D54" s="53"/>
      <c r="E54" s="53"/>
      <c r="F54"/>
    </row>
    <row r="55" spans="1:6" ht="18" customHeight="1" x14ac:dyDescent="0.25">
      <c r="A55" s="10" t="s">
        <v>139</v>
      </c>
      <c r="B55" s="10">
        <v>23201</v>
      </c>
      <c r="C55" s="8" t="s">
        <v>140</v>
      </c>
      <c r="D55" s="53">
        <f>105363.72+217960</f>
        <v>323323.71999999997</v>
      </c>
      <c r="E55" s="53"/>
      <c r="F55"/>
    </row>
    <row r="56" spans="1:6" ht="18" customHeight="1" x14ac:dyDescent="0.25">
      <c r="A56" s="10" t="s">
        <v>141</v>
      </c>
      <c r="B56" s="10">
        <v>24101</v>
      </c>
      <c r="C56" s="8" t="s">
        <v>372</v>
      </c>
      <c r="D56" s="53">
        <v>96672.9</v>
      </c>
      <c r="E56" s="53"/>
      <c r="F56"/>
    </row>
    <row r="57" spans="1:6" ht="18" customHeight="1" x14ac:dyDescent="0.25">
      <c r="A57" s="10" t="s">
        <v>143</v>
      </c>
      <c r="B57" s="10">
        <v>24201</v>
      </c>
      <c r="C57" s="8" t="s">
        <v>144</v>
      </c>
      <c r="D57" s="53"/>
      <c r="E57" s="53"/>
      <c r="F57"/>
    </row>
    <row r="58" spans="1:6" ht="18" customHeight="1" x14ac:dyDescent="0.25">
      <c r="A58" s="10" t="s">
        <v>145</v>
      </c>
      <c r="B58" s="10">
        <v>24401</v>
      </c>
      <c r="C58" s="8" t="s">
        <v>146</v>
      </c>
      <c r="D58" s="53">
        <v>3210</v>
      </c>
      <c r="E58" s="53"/>
      <c r="F58"/>
    </row>
    <row r="59" spans="1:6" ht="18" customHeight="1" x14ac:dyDescent="0.25">
      <c r="A59" s="10" t="s">
        <v>147</v>
      </c>
      <c r="B59" s="10">
        <v>25101</v>
      </c>
      <c r="C59" s="8" t="s">
        <v>148</v>
      </c>
      <c r="D59" s="53">
        <f>72024.56+80000</f>
        <v>152024.56</v>
      </c>
      <c r="E59" s="53"/>
      <c r="F59"/>
    </row>
    <row r="60" spans="1:6" ht="18" customHeight="1" x14ac:dyDescent="0.25">
      <c r="A60" s="10"/>
      <c r="B60" s="10">
        <v>25302</v>
      </c>
      <c r="C60" s="8" t="s">
        <v>149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150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151</v>
      </c>
      <c r="D62" s="53"/>
      <c r="E62" s="53"/>
    </row>
    <row r="63" spans="1:6" ht="18" customHeight="1" x14ac:dyDescent="0.25">
      <c r="A63" s="10" t="s">
        <v>152</v>
      </c>
      <c r="B63" s="10">
        <v>25401</v>
      </c>
      <c r="C63" s="8" t="s">
        <v>153</v>
      </c>
      <c r="D63" s="53">
        <v>224000</v>
      </c>
      <c r="E63" s="53"/>
    </row>
    <row r="64" spans="1:6" ht="18" customHeight="1" x14ac:dyDescent="0.25">
      <c r="A64" s="10" t="s">
        <v>154</v>
      </c>
      <c r="B64" s="10">
        <v>25801</v>
      </c>
      <c r="C64" s="8" t="s">
        <v>155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352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156</v>
      </c>
      <c r="D66" s="53"/>
      <c r="E66" s="53"/>
    </row>
    <row r="67" spans="1:9" s="1" customFormat="1" ht="18" customHeight="1" x14ac:dyDescent="0.25">
      <c r="A67" s="10" t="s">
        <v>157</v>
      </c>
      <c r="B67" s="10">
        <v>26201</v>
      </c>
      <c r="C67" s="8" t="s">
        <v>158</v>
      </c>
      <c r="D67" s="53">
        <v>228825.02</v>
      </c>
      <c r="E67" s="53"/>
      <c r="G67"/>
      <c r="H67"/>
      <c r="I67"/>
    </row>
    <row r="68" spans="1:9" s="1" customFormat="1" ht="18" customHeight="1" x14ac:dyDescent="0.25">
      <c r="A68" s="10" t="s">
        <v>159</v>
      </c>
      <c r="B68" s="10">
        <v>26301</v>
      </c>
      <c r="C68" s="8" t="s">
        <v>160</v>
      </c>
      <c r="D68" s="53">
        <v>987200</v>
      </c>
      <c r="E68" s="53"/>
      <c r="G68"/>
      <c r="H68"/>
      <c r="I68"/>
    </row>
    <row r="69" spans="1:9" s="1" customFormat="1" ht="18" customHeight="1" x14ac:dyDescent="0.25">
      <c r="A69" s="10" t="s">
        <v>161</v>
      </c>
      <c r="B69" s="10">
        <v>27101</v>
      </c>
      <c r="C69" s="8" t="s">
        <v>162</v>
      </c>
      <c r="D69" s="53"/>
      <c r="E69" s="53"/>
      <c r="G69"/>
      <c r="H69"/>
      <c r="I69"/>
    </row>
    <row r="70" spans="1:9" s="1" customFormat="1" ht="18" customHeight="1" x14ac:dyDescent="0.25">
      <c r="A70" s="10" t="s">
        <v>163</v>
      </c>
      <c r="B70" s="10">
        <v>27102</v>
      </c>
      <c r="C70" s="8" t="s">
        <v>164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165</v>
      </c>
      <c r="D71" s="53"/>
      <c r="E71" s="53"/>
      <c r="G71"/>
      <c r="H71"/>
      <c r="I71"/>
    </row>
    <row r="72" spans="1:9" s="1" customFormat="1" ht="18" customHeight="1" x14ac:dyDescent="0.25">
      <c r="A72" s="10" t="s">
        <v>166</v>
      </c>
      <c r="B72" s="10">
        <v>27106</v>
      </c>
      <c r="C72" s="8" t="s">
        <v>167</v>
      </c>
      <c r="D72" s="53">
        <v>247800</v>
      </c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168</v>
      </c>
      <c r="D73" s="53"/>
      <c r="E73" s="53"/>
      <c r="G73"/>
      <c r="H73"/>
      <c r="I73"/>
    </row>
    <row r="74" spans="1:9" s="1" customFormat="1" ht="18" customHeight="1" x14ac:dyDescent="0.25">
      <c r="A74" s="10" t="s">
        <v>169</v>
      </c>
      <c r="B74" s="10">
        <v>27201</v>
      </c>
      <c r="C74" s="8" t="s">
        <v>170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171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172</v>
      </c>
      <c r="D76" s="53"/>
      <c r="E76" s="53"/>
      <c r="G76"/>
      <c r="H76"/>
      <c r="I76"/>
    </row>
    <row r="77" spans="1:9" s="1" customFormat="1" ht="18" customHeight="1" x14ac:dyDescent="0.25">
      <c r="A77" s="10" t="s">
        <v>173</v>
      </c>
      <c r="B77" s="10">
        <v>27205</v>
      </c>
      <c r="C77" s="8" t="s">
        <v>174</v>
      </c>
      <c r="D77" s="53"/>
      <c r="E77" s="53"/>
      <c r="G77"/>
      <c r="H77"/>
      <c r="I77"/>
    </row>
    <row r="78" spans="1:9" s="1" customFormat="1" ht="18" customHeight="1" x14ac:dyDescent="0.25">
      <c r="A78" s="10" t="s">
        <v>175</v>
      </c>
      <c r="B78" s="10">
        <v>27206</v>
      </c>
      <c r="C78" s="8" t="s">
        <v>176</v>
      </c>
      <c r="D78" s="53">
        <v>27975.69</v>
      </c>
      <c r="E78" s="53"/>
      <c r="G78"/>
      <c r="H78"/>
      <c r="I78"/>
    </row>
    <row r="79" spans="1:9" s="1" customFormat="1" ht="18" customHeight="1" x14ac:dyDescent="0.25">
      <c r="A79" s="10"/>
      <c r="B79" s="10">
        <v>27207</v>
      </c>
      <c r="C79" s="8" t="s">
        <v>389</v>
      </c>
      <c r="D79" s="53">
        <v>348159</v>
      </c>
      <c r="E79" s="53"/>
      <c r="G79"/>
      <c r="H79"/>
      <c r="I79"/>
    </row>
    <row r="80" spans="1:9" s="1" customFormat="1" ht="18" customHeight="1" x14ac:dyDescent="0.25">
      <c r="A80" s="10"/>
      <c r="B80" s="10">
        <v>27208</v>
      </c>
      <c r="C80" s="8" t="s">
        <v>177</v>
      </c>
      <c r="D80" s="53">
        <v>998777.96</v>
      </c>
      <c r="E80" s="53"/>
      <c r="G80"/>
      <c r="H80"/>
      <c r="I80"/>
    </row>
    <row r="81" spans="1:9" s="1" customFormat="1" ht="18" customHeight="1" x14ac:dyDescent="0.25">
      <c r="A81" s="10" t="s">
        <v>178</v>
      </c>
      <c r="B81" s="10">
        <v>28201</v>
      </c>
      <c r="C81" s="8" t="s">
        <v>179</v>
      </c>
      <c r="D81" s="53"/>
      <c r="E81" s="53"/>
      <c r="G81"/>
      <c r="H81"/>
      <c r="I81"/>
    </row>
    <row r="82" spans="1:9" s="1" customFormat="1" ht="18" customHeight="1" x14ac:dyDescent="0.25">
      <c r="A82" s="10"/>
      <c r="B82" s="10">
        <v>28301</v>
      </c>
      <c r="C82" s="8" t="s">
        <v>180</v>
      </c>
      <c r="D82" s="53"/>
      <c r="E82" s="53"/>
      <c r="G82"/>
      <c r="H82"/>
      <c r="I82"/>
    </row>
    <row r="83" spans="1:9" s="1" customFormat="1" ht="18" customHeight="1" x14ac:dyDescent="0.25">
      <c r="A83" s="10" t="s">
        <v>181</v>
      </c>
      <c r="B83" s="10">
        <v>28401</v>
      </c>
      <c r="C83" s="8" t="s">
        <v>182</v>
      </c>
      <c r="D83" s="53"/>
      <c r="E83" s="53"/>
      <c r="G83"/>
      <c r="H83"/>
      <c r="I83"/>
    </row>
    <row r="84" spans="1:9" s="1" customFormat="1" ht="18" customHeight="1" x14ac:dyDescent="0.25">
      <c r="A84" s="10" t="s">
        <v>183</v>
      </c>
      <c r="B84" s="10">
        <v>28501</v>
      </c>
      <c r="C84" s="8" t="s">
        <v>184</v>
      </c>
      <c r="D84" s="53"/>
      <c r="E84" s="53"/>
      <c r="G84"/>
      <c r="H84"/>
      <c r="I84"/>
    </row>
    <row r="85" spans="1:9" s="1" customFormat="1" ht="18" customHeight="1" x14ac:dyDescent="0.25">
      <c r="A85" s="10" t="s">
        <v>185</v>
      </c>
      <c r="B85" s="10">
        <v>28502</v>
      </c>
      <c r="C85" s="8" t="s">
        <v>186</v>
      </c>
      <c r="D85" s="53"/>
      <c r="E85" s="53"/>
      <c r="G85"/>
      <c r="H85"/>
      <c r="I85"/>
    </row>
    <row r="86" spans="1:9" s="1" customFormat="1" ht="18" customHeight="1" x14ac:dyDescent="0.25">
      <c r="A86" s="10" t="s">
        <v>187</v>
      </c>
      <c r="B86" s="10">
        <v>28503</v>
      </c>
      <c r="C86" s="8" t="s">
        <v>188</v>
      </c>
      <c r="D86" s="53">
        <v>63330.6</v>
      </c>
      <c r="E86" s="53"/>
      <c r="G86"/>
      <c r="H86"/>
      <c r="I86"/>
    </row>
    <row r="87" spans="1:9" s="1" customFormat="1" ht="18" customHeight="1" x14ac:dyDescent="0.25">
      <c r="A87" s="10" t="s">
        <v>189</v>
      </c>
      <c r="B87" s="10">
        <v>28601</v>
      </c>
      <c r="C87" s="8" t="s">
        <v>190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28602</v>
      </c>
      <c r="C88" s="8" t="s">
        <v>191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28701</v>
      </c>
      <c r="C89" s="8" t="s">
        <v>192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28702</v>
      </c>
      <c r="C90" s="8" t="s">
        <v>193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28704</v>
      </c>
      <c r="C91" s="8" t="s">
        <v>194</v>
      </c>
      <c r="D91" s="53">
        <v>14500</v>
      </c>
      <c r="E91" s="53"/>
      <c r="G91"/>
      <c r="H91"/>
      <c r="I91"/>
    </row>
    <row r="92" spans="1:9" s="1" customFormat="1" ht="18" customHeight="1" x14ac:dyDescent="0.25">
      <c r="A92" s="10"/>
      <c r="B92" s="10">
        <v>28705</v>
      </c>
      <c r="C92" s="8" t="s">
        <v>195</v>
      </c>
      <c r="D92" s="53"/>
      <c r="E92" s="53"/>
      <c r="G92"/>
      <c r="H92"/>
      <c r="I92"/>
    </row>
    <row r="93" spans="1:9" s="1" customFormat="1" ht="18" customHeight="1" x14ac:dyDescent="0.25">
      <c r="A93" s="10" t="s">
        <v>196</v>
      </c>
      <c r="B93" s="10">
        <v>28706</v>
      </c>
      <c r="C93" s="8" t="s">
        <v>197</v>
      </c>
      <c r="D93" s="53">
        <f>66840+1435</f>
        <v>68275</v>
      </c>
      <c r="E93" s="53"/>
      <c r="G93"/>
      <c r="H93"/>
      <c r="I93"/>
    </row>
    <row r="94" spans="1:9" s="1" customFormat="1" ht="18" customHeight="1" x14ac:dyDescent="0.25">
      <c r="A94" s="10" t="s">
        <v>198</v>
      </c>
      <c r="B94" s="10">
        <v>28801</v>
      </c>
      <c r="C94" s="8" t="s">
        <v>393</v>
      </c>
      <c r="D94" s="53">
        <v>10006.59</v>
      </c>
      <c r="E94" s="53"/>
      <c r="G94"/>
      <c r="H94"/>
      <c r="I94"/>
    </row>
    <row r="95" spans="1:9" s="1" customFormat="1" ht="18" customHeight="1" x14ac:dyDescent="0.25">
      <c r="A95" s="10"/>
      <c r="B95" s="10">
        <v>28802</v>
      </c>
      <c r="C95" s="8" t="s">
        <v>373</v>
      </c>
      <c r="D95" s="53"/>
      <c r="E95" s="53"/>
      <c r="G95"/>
      <c r="H95"/>
      <c r="I95"/>
    </row>
    <row r="96" spans="1:9" s="1" customFormat="1" ht="18" customHeight="1" x14ac:dyDescent="0.25">
      <c r="A96" s="10"/>
      <c r="B96" s="10">
        <v>28803</v>
      </c>
      <c r="C96" s="8" t="s">
        <v>374</v>
      </c>
      <c r="D96" s="53">
        <v>9292.92</v>
      </c>
      <c r="E96" s="53"/>
      <c r="G96"/>
      <c r="H96"/>
      <c r="I96"/>
    </row>
    <row r="97" spans="1:9" s="1" customFormat="1" ht="18" customHeight="1" x14ac:dyDescent="0.25">
      <c r="A97" s="10"/>
      <c r="B97" s="10">
        <v>28804</v>
      </c>
      <c r="C97" s="8" t="s">
        <v>375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28904</v>
      </c>
      <c r="C98" s="8" t="s">
        <v>361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29101</v>
      </c>
      <c r="C99" s="8" t="s">
        <v>201</v>
      </c>
      <c r="D99" s="53"/>
      <c r="E99" s="53"/>
      <c r="G99"/>
      <c r="H99"/>
      <c r="I99"/>
    </row>
    <row r="100" spans="1:9" s="1" customFormat="1" ht="18" customHeight="1" x14ac:dyDescent="0.25">
      <c r="A100" s="10"/>
      <c r="B100" s="10">
        <v>29201</v>
      </c>
      <c r="C100" s="8" t="s">
        <v>202</v>
      </c>
      <c r="D100" s="53"/>
      <c r="E100" s="53"/>
      <c r="G100"/>
      <c r="H100"/>
      <c r="I100"/>
    </row>
    <row r="101" spans="1:9" s="1" customFormat="1" ht="18" customHeight="1" x14ac:dyDescent="0.25">
      <c r="A101" s="10"/>
      <c r="B101" s="10">
        <v>29203</v>
      </c>
      <c r="C101" s="8" t="s">
        <v>362</v>
      </c>
      <c r="D101" s="53">
        <v>878550.9</v>
      </c>
      <c r="E101" s="53"/>
      <c r="G101"/>
      <c r="H101"/>
      <c r="I101"/>
    </row>
    <row r="102" spans="1:9" s="1" customFormat="1" ht="18" customHeight="1" x14ac:dyDescent="0.25">
      <c r="A102" s="51"/>
      <c r="B102" s="69">
        <v>3</v>
      </c>
      <c r="C102" s="63" t="s">
        <v>203</v>
      </c>
      <c r="D102" s="57">
        <f>SUM(D103:D155)</f>
        <v>4792607.53</v>
      </c>
      <c r="E102" s="57"/>
      <c r="G102"/>
      <c r="H102"/>
      <c r="I102"/>
    </row>
    <row r="103" spans="1:9" s="1" customFormat="1" ht="18" customHeight="1" x14ac:dyDescent="0.25">
      <c r="A103" s="10" t="s">
        <v>204</v>
      </c>
      <c r="B103" s="10">
        <v>31101</v>
      </c>
      <c r="C103" s="8" t="s">
        <v>205</v>
      </c>
      <c r="D103" s="53">
        <f>630183.04+72984.36</f>
        <v>703167.4</v>
      </c>
      <c r="E103" s="53"/>
      <c r="G103"/>
      <c r="H103"/>
      <c r="I103"/>
    </row>
    <row r="104" spans="1:9" s="1" customFormat="1" ht="18" customHeight="1" x14ac:dyDescent="0.25">
      <c r="A104" s="10" t="s">
        <v>206</v>
      </c>
      <c r="B104" s="10">
        <v>31303</v>
      </c>
      <c r="C104" s="8" t="s">
        <v>207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208</v>
      </c>
      <c r="B105" s="10">
        <v>31401</v>
      </c>
      <c r="C105" s="8" t="s">
        <v>209</v>
      </c>
      <c r="D105" s="53">
        <v>210.6</v>
      </c>
      <c r="E105" s="53"/>
      <c r="G105"/>
      <c r="H105"/>
      <c r="I105"/>
    </row>
    <row r="106" spans="1:9" s="1" customFormat="1" ht="18" customHeight="1" x14ac:dyDescent="0.25">
      <c r="A106" s="10" t="s">
        <v>210</v>
      </c>
      <c r="B106" s="10">
        <v>32101</v>
      </c>
      <c r="C106" s="8" t="s">
        <v>211</v>
      </c>
      <c r="D106" s="53">
        <v>198</v>
      </c>
      <c r="E106" s="53"/>
      <c r="G106"/>
      <c r="H106"/>
      <c r="I106"/>
    </row>
    <row r="107" spans="1:9" s="1" customFormat="1" ht="18" customHeight="1" x14ac:dyDescent="0.25">
      <c r="A107" s="10" t="s">
        <v>212</v>
      </c>
      <c r="B107" s="10">
        <v>32201</v>
      </c>
      <c r="C107" s="8" t="s">
        <v>213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214</v>
      </c>
      <c r="B108" s="10">
        <v>32301</v>
      </c>
      <c r="C108" s="8" t="s">
        <v>215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216</v>
      </c>
      <c r="B109" s="10">
        <v>32401</v>
      </c>
      <c r="C109" s="8" t="s">
        <v>217</v>
      </c>
      <c r="D109" s="53"/>
      <c r="E109" s="53"/>
      <c r="G109"/>
      <c r="H109"/>
      <c r="I109"/>
    </row>
    <row r="110" spans="1:9" s="1" customFormat="1" ht="18" customHeight="1" x14ac:dyDescent="0.25">
      <c r="A110" s="10" t="s">
        <v>218</v>
      </c>
      <c r="B110" s="10">
        <v>33101</v>
      </c>
      <c r="C110" s="8" t="s">
        <v>219</v>
      </c>
      <c r="D110" s="53">
        <v>3057118.37</v>
      </c>
      <c r="E110" s="53"/>
      <c r="G110"/>
      <c r="H110"/>
      <c r="I110"/>
    </row>
    <row r="111" spans="1:9" s="1" customFormat="1" ht="18" customHeight="1" x14ac:dyDescent="0.25">
      <c r="A111" s="10" t="s">
        <v>220</v>
      </c>
      <c r="B111" s="10">
        <v>33201</v>
      </c>
      <c r="C111" s="8" t="s">
        <v>221</v>
      </c>
      <c r="D111" s="53">
        <f>107005.94+4950.62</f>
        <v>111956.56</v>
      </c>
      <c r="E111" s="53"/>
      <c r="G111"/>
      <c r="H111"/>
      <c r="I111"/>
    </row>
    <row r="112" spans="1:9" s="1" customFormat="1" ht="18" customHeight="1" x14ac:dyDescent="0.25">
      <c r="A112" s="10" t="s">
        <v>222</v>
      </c>
      <c r="B112" s="10">
        <v>33301</v>
      </c>
      <c r="C112" s="8" t="s">
        <v>223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224</v>
      </c>
      <c r="B113" s="10">
        <v>33401</v>
      </c>
      <c r="C113" s="8" t="s">
        <v>225</v>
      </c>
      <c r="D113" s="53"/>
      <c r="E113" s="53"/>
      <c r="G113"/>
      <c r="H113"/>
      <c r="I113"/>
    </row>
    <row r="114" spans="1:9" s="1" customFormat="1" ht="18" customHeight="1" x14ac:dyDescent="0.25">
      <c r="A114" s="10" t="s">
        <v>226</v>
      </c>
      <c r="B114" s="10">
        <v>33601</v>
      </c>
      <c r="C114" s="8" t="s">
        <v>227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34101</v>
      </c>
      <c r="C115" s="8" t="s">
        <v>229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230</v>
      </c>
      <c r="B116" s="10">
        <v>35101</v>
      </c>
      <c r="C116" s="8" t="s">
        <v>231</v>
      </c>
      <c r="D116" s="53"/>
      <c r="E116" s="53"/>
      <c r="G116"/>
      <c r="H116"/>
      <c r="I116"/>
    </row>
    <row r="117" spans="1:9" s="1" customFormat="1" ht="18" customHeight="1" x14ac:dyDescent="0.25">
      <c r="A117" s="10" t="s">
        <v>232</v>
      </c>
      <c r="B117" s="10">
        <v>35201</v>
      </c>
      <c r="C117" s="8" t="s">
        <v>233</v>
      </c>
      <c r="D117" s="53"/>
      <c r="E117" s="53"/>
      <c r="G117"/>
      <c r="H117"/>
      <c r="I117"/>
    </row>
    <row r="118" spans="1:9" ht="18" customHeight="1" x14ac:dyDescent="0.25">
      <c r="A118" s="10" t="s">
        <v>234</v>
      </c>
      <c r="B118" s="10">
        <v>35301</v>
      </c>
      <c r="C118" s="8" t="s">
        <v>235</v>
      </c>
      <c r="D118" s="53"/>
      <c r="E118" s="53"/>
    </row>
    <row r="119" spans="1:9" ht="18" customHeight="1" x14ac:dyDescent="0.25">
      <c r="A119" s="10" t="s">
        <v>236</v>
      </c>
      <c r="B119" s="10">
        <v>35401</v>
      </c>
      <c r="C119" s="8" t="s">
        <v>237</v>
      </c>
      <c r="D119" s="53">
        <v>709.99</v>
      </c>
      <c r="E119" s="53"/>
    </row>
    <row r="120" spans="1:9" ht="18" customHeight="1" x14ac:dyDescent="0.25">
      <c r="A120" s="10" t="s">
        <v>238</v>
      </c>
      <c r="B120" s="10">
        <v>35501</v>
      </c>
      <c r="C120" s="8" t="s">
        <v>239</v>
      </c>
      <c r="D120" s="53">
        <v>912.45</v>
      </c>
      <c r="E120" s="53"/>
    </row>
    <row r="121" spans="1:9" ht="18" customHeight="1" x14ac:dyDescent="0.25">
      <c r="A121" s="10" t="s">
        <v>240</v>
      </c>
      <c r="B121" s="10">
        <v>36101</v>
      </c>
      <c r="C121" s="8" t="s">
        <v>241</v>
      </c>
      <c r="D121" s="53">
        <v>275</v>
      </c>
      <c r="E121" s="53"/>
    </row>
    <row r="122" spans="1:9" ht="18" customHeight="1" x14ac:dyDescent="0.25">
      <c r="A122" s="10"/>
      <c r="B122" s="10">
        <v>36102</v>
      </c>
      <c r="C122" s="8" t="s">
        <v>242</v>
      </c>
      <c r="D122" s="53"/>
      <c r="E122" s="53"/>
    </row>
    <row r="123" spans="1:9" ht="18" customHeight="1" x14ac:dyDescent="0.25">
      <c r="A123" s="10" t="s">
        <v>243</v>
      </c>
      <c r="B123" s="10">
        <v>36104</v>
      </c>
      <c r="C123" s="8" t="s">
        <v>244</v>
      </c>
      <c r="D123" s="53"/>
      <c r="E123" s="53"/>
    </row>
    <row r="124" spans="1:9" ht="18" customHeight="1" x14ac:dyDescent="0.25">
      <c r="A124" s="10" t="s">
        <v>245</v>
      </c>
      <c r="B124" s="10">
        <v>36201</v>
      </c>
      <c r="C124" s="8" t="s">
        <v>246</v>
      </c>
      <c r="D124" s="53">
        <v>2306.17</v>
      </c>
      <c r="E124" s="53"/>
    </row>
    <row r="125" spans="1:9" ht="18" customHeight="1" x14ac:dyDescent="0.25">
      <c r="A125" s="10" t="s">
        <v>247</v>
      </c>
      <c r="B125" s="10">
        <v>36202</v>
      </c>
      <c r="C125" s="8" t="s">
        <v>248</v>
      </c>
      <c r="D125" s="53"/>
      <c r="E125" s="53"/>
    </row>
    <row r="126" spans="1:9" ht="18" customHeight="1" x14ac:dyDescent="0.25">
      <c r="A126" s="10" t="s">
        <v>249</v>
      </c>
      <c r="B126" s="10">
        <v>36203</v>
      </c>
      <c r="C126" s="8" t="s">
        <v>250</v>
      </c>
      <c r="D126" s="53">
        <v>80</v>
      </c>
      <c r="E126" s="53"/>
    </row>
    <row r="127" spans="1:9" ht="18" customHeight="1" x14ac:dyDescent="0.25">
      <c r="A127" s="10" t="s">
        <v>251</v>
      </c>
      <c r="B127" s="10">
        <v>36301</v>
      </c>
      <c r="C127" s="8" t="s">
        <v>252</v>
      </c>
      <c r="D127" s="53"/>
      <c r="E127" s="53"/>
    </row>
    <row r="128" spans="1:9" ht="18" customHeight="1" x14ac:dyDescent="0.25">
      <c r="A128" s="10"/>
      <c r="B128" s="10">
        <v>36302</v>
      </c>
      <c r="C128" s="8" t="s">
        <v>248</v>
      </c>
      <c r="D128" s="53"/>
      <c r="E128" s="53"/>
    </row>
    <row r="129" spans="1:9" ht="18" customHeight="1" x14ac:dyDescent="0.25">
      <c r="A129" s="10" t="s">
        <v>253</v>
      </c>
      <c r="B129" s="10">
        <v>36303</v>
      </c>
      <c r="C129" s="8" t="s">
        <v>254</v>
      </c>
      <c r="D129" s="53"/>
      <c r="E129" s="53"/>
    </row>
    <row r="130" spans="1:9" ht="18" customHeight="1" x14ac:dyDescent="0.25">
      <c r="A130" s="10" t="s">
        <v>255</v>
      </c>
      <c r="B130" s="10">
        <v>36304</v>
      </c>
      <c r="C130" s="8" t="s">
        <v>256</v>
      </c>
      <c r="D130" s="53">
        <f>39252.7+1382.22</f>
        <v>40634.92</v>
      </c>
      <c r="E130" s="53"/>
    </row>
    <row r="131" spans="1:9" s="1" customFormat="1" ht="18" customHeight="1" x14ac:dyDescent="0.25">
      <c r="A131" s="10" t="s">
        <v>255</v>
      </c>
      <c r="B131" s="10">
        <v>36306</v>
      </c>
      <c r="C131" s="8" t="s">
        <v>257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36307</v>
      </c>
      <c r="C132" s="52" t="s">
        <v>258</v>
      </c>
      <c r="D132" s="53"/>
      <c r="E132" s="53"/>
      <c r="G132"/>
      <c r="H132"/>
      <c r="I132"/>
    </row>
    <row r="133" spans="1:9" s="1" customFormat="1" ht="18" customHeight="1" x14ac:dyDescent="0.25">
      <c r="A133" s="10"/>
      <c r="B133" s="51">
        <v>36401</v>
      </c>
      <c r="C133" s="52" t="s">
        <v>364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243</v>
      </c>
      <c r="B134" s="51">
        <v>36403</v>
      </c>
      <c r="C134" s="52" t="s">
        <v>259</v>
      </c>
      <c r="D134" s="53"/>
      <c r="E134" s="53"/>
      <c r="G134"/>
      <c r="H134"/>
      <c r="I134"/>
    </row>
    <row r="135" spans="1:9" s="1" customFormat="1" ht="18" customHeight="1" x14ac:dyDescent="0.25">
      <c r="A135" s="10" t="s">
        <v>260</v>
      </c>
      <c r="B135" s="51">
        <v>37101</v>
      </c>
      <c r="C135" s="52" t="s">
        <v>261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262</v>
      </c>
      <c r="B136" s="51">
        <v>37102</v>
      </c>
      <c r="C136" s="52" t="s">
        <v>263</v>
      </c>
      <c r="D136" s="53">
        <v>1369</v>
      </c>
      <c r="E136" s="53"/>
      <c r="G136"/>
      <c r="H136"/>
      <c r="I136"/>
    </row>
    <row r="137" spans="1:9" s="1" customFormat="1" ht="18" customHeight="1" x14ac:dyDescent="0.25">
      <c r="A137" s="10" t="s">
        <v>264</v>
      </c>
      <c r="B137" s="51">
        <v>37104</v>
      </c>
      <c r="C137" s="52" t="s">
        <v>265</v>
      </c>
      <c r="D137" s="53">
        <v>750</v>
      </c>
      <c r="E137" s="53"/>
      <c r="G137"/>
      <c r="H137"/>
      <c r="I137"/>
    </row>
    <row r="138" spans="1:9" s="1" customFormat="1" ht="18" customHeight="1" x14ac:dyDescent="0.25">
      <c r="A138" s="10" t="s">
        <v>266</v>
      </c>
      <c r="B138" s="51">
        <v>37105</v>
      </c>
      <c r="C138" s="52" t="s">
        <v>267</v>
      </c>
      <c r="D138" s="53"/>
      <c r="E138" s="53"/>
      <c r="G138"/>
      <c r="H138"/>
      <c r="I138"/>
    </row>
    <row r="139" spans="1:9" s="1" customFormat="1" ht="18" customHeight="1" x14ac:dyDescent="0.25">
      <c r="A139" s="10" t="s">
        <v>268</v>
      </c>
      <c r="B139" s="51">
        <v>37106</v>
      </c>
      <c r="C139" s="52" t="s">
        <v>269</v>
      </c>
      <c r="D139" s="53"/>
      <c r="E139" s="53"/>
      <c r="G139"/>
      <c r="H139"/>
      <c r="I139"/>
    </row>
    <row r="140" spans="1:9" s="1" customFormat="1" ht="18" customHeight="1" x14ac:dyDescent="0.25">
      <c r="A140" s="10"/>
      <c r="B140" s="51">
        <v>37201</v>
      </c>
      <c r="C140" s="52" t="s">
        <v>270</v>
      </c>
      <c r="D140" s="53"/>
      <c r="E140" s="53"/>
      <c r="G140"/>
      <c r="H140"/>
      <c r="I140"/>
    </row>
    <row r="141" spans="1:9" s="1" customFormat="1" ht="18" customHeight="1" x14ac:dyDescent="0.25">
      <c r="A141" s="10" t="s">
        <v>271</v>
      </c>
      <c r="B141" s="10">
        <v>37203</v>
      </c>
      <c r="C141" s="8" t="s">
        <v>272</v>
      </c>
      <c r="D141" s="53">
        <v>750</v>
      </c>
      <c r="E141" s="53"/>
      <c r="G141"/>
      <c r="H141"/>
      <c r="I141"/>
    </row>
    <row r="142" spans="1:9" s="1" customFormat="1" ht="18" customHeight="1" x14ac:dyDescent="0.25">
      <c r="A142" s="10" t="s">
        <v>273</v>
      </c>
      <c r="B142" s="10">
        <v>37205</v>
      </c>
      <c r="C142" s="8" t="s">
        <v>274</v>
      </c>
      <c r="D142" s="53"/>
      <c r="E142" s="53"/>
      <c r="G142"/>
      <c r="H142"/>
      <c r="I142"/>
    </row>
    <row r="143" spans="1:9" s="1" customFormat="1" ht="18" customHeight="1" x14ac:dyDescent="0.25">
      <c r="A143" s="10" t="s">
        <v>275</v>
      </c>
      <c r="B143" s="10">
        <v>37206</v>
      </c>
      <c r="C143" s="8" t="s">
        <v>276</v>
      </c>
      <c r="D143" s="53"/>
      <c r="E143" s="53"/>
      <c r="G143"/>
      <c r="H143"/>
      <c r="I143"/>
    </row>
    <row r="144" spans="1:9" s="1" customFormat="1" ht="18" customHeight="1" x14ac:dyDescent="0.25">
      <c r="A144" s="10"/>
      <c r="B144" s="51">
        <v>37299</v>
      </c>
      <c r="C144" s="52" t="s">
        <v>277</v>
      </c>
      <c r="D144" s="53">
        <f>292.05+1470</f>
        <v>1762.05</v>
      </c>
      <c r="E144" s="53"/>
      <c r="G144"/>
      <c r="H144"/>
      <c r="I144"/>
    </row>
    <row r="145" spans="1:9" s="1" customFormat="1" ht="18" customHeight="1" x14ac:dyDescent="0.25">
      <c r="A145" s="10" t="s">
        <v>278</v>
      </c>
      <c r="B145" s="51">
        <v>39101</v>
      </c>
      <c r="C145" s="52" t="s">
        <v>279</v>
      </c>
      <c r="D145" s="53">
        <v>439</v>
      </c>
      <c r="E145" s="53"/>
      <c r="G145"/>
      <c r="H145"/>
      <c r="I145"/>
    </row>
    <row r="146" spans="1:9" s="1" customFormat="1" ht="18" customHeight="1" x14ac:dyDescent="0.25">
      <c r="A146" s="10" t="s">
        <v>280</v>
      </c>
      <c r="B146" s="51">
        <v>39201</v>
      </c>
      <c r="C146" s="52" t="s">
        <v>281</v>
      </c>
      <c r="D146" s="53">
        <f>813675.14+4413</f>
        <v>818088.14</v>
      </c>
      <c r="E146" s="53"/>
      <c r="G146"/>
      <c r="H146"/>
      <c r="I146"/>
    </row>
    <row r="147" spans="1:9" s="1" customFormat="1" ht="18" customHeight="1" x14ac:dyDescent="0.25">
      <c r="A147" s="10"/>
      <c r="B147" s="51">
        <v>39301</v>
      </c>
      <c r="C147" s="52" t="s">
        <v>282</v>
      </c>
      <c r="D147" s="53"/>
      <c r="E147" s="53"/>
      <c r="G147"/>
      <c r="H147"/>
      <c r="I147"/>
    </row>
    <row r="148" spans="1:9" s="1" customFormat="1" ht="18" customHeight="1" x14ac:dyDescent="0.25">
      <c r="A148" s="10" t="s">
        <v>283</v>
      </c>
      <c r="B148" s="51">
        <v>39501</v>
      </c>
      <c r="C148" s="52" t="s">
        <v>284</v>
      </c>
      <c r="D148" s="53"/>
      <c r="E148" s="53"/>
      <c r="G148"/>
      <c r="H148"/>
      <c r="I148"/>
    </row>
    <row r="149" spans="1:9" s="1" customFormat="1" ht="18" customHeight="1" x14ac:dyDescent="0.25">
      <c r="A149" s="10" t="s">
        <v>285</v>
      </c>
      <c r="B149" s="10">
        <v>39601</v>
      </c>
      <c r="C149" s="8" t="s">
        <v>286</v>
      </c>
      <c r="D149" s="53">
        <v>575</v>
      </c>
      <c r="E149" s="53"/>
      <c r="G149"/>
      <c r="H149"/>
      <c r="I149"/>
    </row>
    <row r="150" spans="1:9" s="1" customFormat="1" ht="18" customHeight="1" x14ac:dyDescent="0.25">
      <c r="A150" s="10" t="s">
        <v>287</v>
      </c>
      <c r="B150" s="10">
        <v>39801</v>
      </c>
      <c r="C150" s="8" t="s">
        <v>288</v>
      </c>
      <c r="D150" s="53"/>
      <c r="E150" s="53"/>
      <c r="G150"/>
      <c r="H150"/>
      <c r="I150"/>
    </row>
    <row r="151" spans="1:9" s="1" customFormat="1" ht="18" customHeight="1" x14ac:dyDescent="0.25">
      <c r="A151" s="10"/>
      <c r="B151" s="10">
        <v>39802</v>
      </c>
      <c r="C151" s="8" t="s">
        <v>353</v>
      </c>
      <c r="D151" s="53"/>
      <c r="E151" s="53"/>
      <c r="G151"/>
      <c r="H151"/>
      <c r="I151"/>
    </row>
    <row r="152" spans="1:9" s="1" customFormat="1" ht="18" customHeight="1" x14ac:dyDescent="0.25">
      <c r="A152" s="10" t="s">
        <v>289</v>
      </c>
      <c r="B152" s="10">
        <v>39901</v>
      </c>
      <c r="C152" s="8" t="s">
        <v>290</v>
      </c>
      <c r="D152" s="53">
        <f>16104.68+7200.2</f>
        <v>23304.880000000001</v>
      </c>
      <c r="E152" s="53"/>
      <c r="G152"/>
      <c r="H152"/>
      <c r="I152"/>
    </row>
    <row r="153" spans="1:9" s="1" customFormat="1" ht="18" customHeight="1" x14ac:dyDescent="0.25">
      <c r="A153" s="10" t="s">
        <v>289</v>
      </c>
      <c r="B153" s="10">
        <v>39902</v>
      </c>
      <c r="C153" s="8" t="s">
        <v>291</v>
      </c>
      <c r="D153" s="53"/>
      <c r="E153" s="53"/>
      <c r="G153"/>
      <c r="H153"/>
      <c r="I153"/>
    </row>
    <row r="154" spans="1:9" s="1" customFormat="1" ht="18" customHeight="1" x14ac:dyDescent="0.25">
      <c r="A154" s="10"/>
      <c r="B154" s="10">
        <v>39904</v>
      </c>
      <c r="C154" s="8" t="s">
        <v>292</v>
      </c>
      <c r="D154" s="53"/>
      <c r="E154" s="53"/>
      <c r="G154"/>
      <c r="H154"/>
      <c r="I154"/>
    </row>
    <row r="155" spans="1:9" s="1" customFormat="1" ht="18" customHeight="1" x14ac:dyDescent="0.25">
      <c r="A155" s="10"/>
      <c r="B155" s="10">
        <v>39905</v>
      </c>
      <c r="C155" s="8" t="s">
        <v>293</v>
      </c>
      <c r="D155" s="53">
        <v>28000</v>
      </c>
      <c r="E155" s="53"/>
      <c r="G155"/>
      <c r="H155"/>
      <c r="I155"/>
    </row>
    <row r="156" spans="1:9" s="1" customFormat="1" ht="18" customHeight="1" x14ac:dyDescent="0.25">
      <c r="A156" s="51"/>
      <c r="B156" s="69">
        <v>4</v>
      </c>
      <c r="C156" s="63" t="s">
        <v>294</v>
      </c>
      <c r="D156" s="57">
        <f>SUM(D157:D177)</f>
        <v>0</v>
      </c>
      <c r="E156" s="57"/>
      <c r="G156"/>
      <c r="H156"/>
      <c r="I156"/>
    </row>
    <row r="157" spans="1:9" s="1" customFormat="1" ht="18" customHeight="1" x14ac:dyDescent="0.25">
      <c r="A157" s="10" t="s">
        <v>295</v>
      </c>
      <c r="B157" s="10">
        <v>41103</v>
      </c>
      <c r="C157" s="8" t="s">
        <v>296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297</v>
      </c>
      <c r="B158" s="10">
        <v>41201</v>
      </c>
      <c r="C158" s="8" t="s">
        <v>298</v>
      </c>
      <c r="D158" s="53"/>
      <c r="E158" s="53"/>
      <c r="G158"/>
      <c r="H158"/>
      <c r="I158"/>
    </row>
    <row r="159" spans="1:9" s="1" customFormat="1" ht="18" customHeight="1" x14ac:dyDescent="0.25">
      <c r="A159" s="10" t="s">
        <v>299</v>
      </c>
      <c r="B159" s="10">
        <v>41202</v>
      </c>
      <c r="C159" s="8" t="s">
        <v>300</v>
      </c>
      <c r="D159" s="53"/>
      <c r="E159" s="53"/>
      <c r="G159"/>
      <c r="H159"/>
      <c r="I159"/>
    </row>
    <row r="160" spans="1:9" s="1" customFormat="1" ht="18" customHeight="1" x14ac:dyDescent="0.25">
      <c r="A160" s="10"/>
      <c r="B160" s="10">
        <v>41401</v>
      </c>
      <c r="C160" s="8" t="s">
        <v>301</v>
      </c>
      <c r="D160" s="9"/>
      <c r="E160" s="9"/>
      <c r="G160"/>
      <c r="H160"/>
      <c r="I160"/>
    </row>
    <row r="161" spans="1:9" s="1" customFormat="1" ht="18" customHeight="1" x14ac:dyDescent="0.25">
      <c r="A161" s="10" t="s">
        <v>302</v>
      </c>
      <c r="B161" s="10">
        <v>41402</v>
      </c>
      <c r="C161" s="8" t="s">
        <v>303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41501</v>
      </c>
      <c r="C162" s="8" t="s">
        <v>304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41601</v>
      </c>
      <c r="C163" s="8" t="s">
        <v>305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41605</v>
      </c>
      <c r="C164" s="8" t="s">
        <v>306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421105</v>
      </c>
      <c r="C165" s="8" t="s">
        <v>307</v>
      </c>
      <c r="D165" s="9"/>
      <c r="E165" s="9"/>
      <c r="G165"/>
      <c r="H165"/>
      <c r="I165"/>
    </row>
    <row r="166" spans="1:9" s="1" customFormat="1" ht="18" customHeight="1" x14ac:dyDescent="0.25">
      <c r="A166" s="10"/>
      <c r="B166" s="10">
        <v>421903</v>
      </c>
      <c r="C166" s="8" t="s">
        <v>308</v>
      </c>
      <c r="D166" s="9"/>
      <c r="E166" s="9"/>
      <c r="G166"/>
      <c r="H166"/>
      <c r="I166"/>
    </row>
    <row r="167" spans="1:9" s="1" customFormat="1" ht="18" customHeight="1" x14ac:dyDescent="0.25">
      <c r="A167" s="10" t="s">
        <v>309</v>
      </c>
      <c r="B167" s="10">
        <v>44102</v>
      </c>
      <c r="C167" s="8" t="s">
        <v>310</v>
      </c>
      <c r="D167" s="9"/>
      <c r="E167" s="9"/>
      <c r="G167"/>
      <c r="H167"/>
      <c r="I167"/>
    </row>
    <row r="168" spans="1:9" s="1" customFormat="1" ht="18" customHeight="1" x14ac:dyDescent="0.25">
      <c r="A168" s="51"/>
      <c r="B168" s="51">
        <v>62501</v>
      </c>
      <c r="C168" s="52" t="s">
        <v>311</v>
      </c>
      <c r="D168" s="73"/>
      <c r="E168" s="68"/>
      <c r="G168"/>
      <c r="H168"/>
      <c r="I168"/>
    </row>
    <row r="169" spans="1:9" s="1" customFormat="1" ht="18" customHeight="1" x14ac:dyDescent="0.25">
      <c r="A169" s="51"/>
      <c r="B169" s="51" t="s">
        <v>358</v>
      </c>
      <c r="C169" s="52"/>
      <c r="D169" s="73"/>
      <c r="E169" s="68"/>
      <c r="G169"/>
      <c r="H169"/>
      <c r="I169"/>
    </row>
    <row r="170" spans="1:9" s="1" customFormat="1" ht="18" customHeight="1" x14ac:dyDescent="0.25">
      <c r="A170" s="10"/>
      <c r="B170" s="10"/>
      <c r="C170" s="8" t="s">
        <v>77</v>
      </c>
      <c r="D170" s="15"/>
      <c r="E170" s="68"/>
      <c r="G170"/>
      <c r="H170"/>
      <c r="I170"/>
    </row>
    <row r="171" spans="1:9" s="1" customFormat="1" ht="18" customHeight="1" x14ac:dyDescent="0.25">
      <c r="A171" s="10"/>
      <c r="B171" s="10" t="s">
        <v>314</v>
      </c>
      <c r="C171" s="8"/>
      <c r="D171" s="10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77</v>
      </c>
      <c r="D172" s="17"/>
      <c r="E172" s="68"/>
      <c r="G172"/>
      <c r="H172"/>
      <c r="I172"/>
    </row>
    <row r="173" spans="1:9" s="1" customFormat="1" ht="18" customHeight="1" x14ac:dyDescent="0.25">
      <c r="A173" s="10"/>
      <c r="B173" s="10"/>
      <c r="C173" s="8" t="s">
        <v>315</v>
      </c>
      <c r="D173" s="10"/>
      <c r="E173" s="17">
        <f>+D172</f>
        <v>0</v>
      </c>
      <c r="G173"/>
      <c r="H173"/>
      <c r="I173"/>
    </row>
    <row r="174" spans="1:9" s="1" customFormat="1" ht="18" customHeight="1" x14ac:dyDescent="0.25">
      <c r="A174" s="10"/>
      <c r="B174" s="10" t="s">
        <v>316</v>
      </c>
      <c r="C174" s="10"/>
      <c r="D174" s="10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42</v>
      </c>
      <c r="D175" s="17"/>
      <c r="E175" s="10"/>
      <c r="G175"/>
      <c r="H175"/>
      <c r="I175"/>
    </row>
    <row r="176" spans="1:9" s="1" customFormat="1" ht="18" customHeight="1" x14ac:dyDescent="0.25">
      <c r="A176" s="10"/>
      <c r="B176" s="10"/>
      <c r="C176" s="8" t="s">
        <v>315</v>
      </c>
      <c r="D176" s="10"/>
      <c r="E176" s="17">
        <f>+E173</f>
        <v>0</v>
      </c>
      <c r="G176"/>
      <c r="H176"/>
      <c r="I176"/>
    </row>
    <row r="177" spans="1:9" s="1" customFormat="1" ht="18" customHeight="1" x14ac:dyDescent="0.25">
      <c r="A177" s="10"/>
      <c r="B177" s="10" t="s">
        <v>317</v>
      </c>
      <c r="C177" s="10"/>
      <c r="D177" s="10"/>
      <c r="E177" s="10"/>
      <c r="G177"/>
      <c r="H177"/>
      <c r="I177"/>
    </row>
    <row r="178" spans="1:9" s="1" customFormat="1" x14ac:dyDescent="0.25">
      <c r="A178" s="51"/>
      <c r="B178" s="97" t="s">
        <v>318</v>
      </c>
      <c r="C178" s="98"/>
      <c r="D178" s="62">
        <f>+E15-E16</f>
        <v>-78791888.060000017</v>
      </c>
      <c r="E178" s="62">
        <f>+E15-E16</f>
        <v>-78791888.060000017</v>
      </c>
      <c r="G178" s="37"/>
      <c r="H178"/>
      <c r="I178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3" spans="1:9" s="1" customFormat="1" x14ac:dyDescent="0.25">
      <c r="A183" s="23" t="s">
        <v>319</v>
      </c>
      <c r="B183" s="23">
        <v>6</v>
      </c>
      <c r="C183" s="5" t="s">
        <v>320</v>
      </c>
      <c r="D183" s="12">
        <f>SUM(D184:D206)</f>
        <v>2260795.29</v>
      </c>
      <c r="E183" s="19"/>
      <c r="G183"/>
      <c r="H183"/>
      <c r="I183"/>
    </row>
    <row r="184" spans="1:9" s="1" customFormat="1" x14ac:dyDescent="0.25">
      <c r="A184" s="26">
        <v>1206010007</v>
      </c>
      <c r="B184" s="10">
        <v>61101</v>
      </c>
      <c r="C184" s="8" t="s">
        <v>321</v>
      </c>
      <c r="D184" s="53">
        <v>733798.64</v>
      </c>
      <c r="E184" s="20"/>
      <c r="G184"/>
      <c r="H184"/>
      <c r="I184"/>
    </row>
    <row r="185" spans="1:9" s="1" customFormat="1" x14ac:dyDescent="0.25">
      <c r="A185" s="26">
        <v>1206010004</v>
      </c>
      <c r="B185" s="10">
        <v>61301</v>
      </c>
      <c r="C185" s="8" t="s">
        <v>322</v>
      </c>
      <c r="D185" s="53"/>
      <c r="E185" s="20"/>
      <c r="G185"/>
      <c r="H185"/>
      <c r="I185"/>
    </row>
    <row r="186" spans="1:9" s="1" customFormat="1" x14ac:dyDescent="0.25">
      <c r="A186" s="26">
        <v>1206010007</v>
      </c>
      <c r="B186" s="10">
        <v>61401</v>
      </c>
      <c r="C186" s="8" t="s">
        <v>323</v>
      </c>
      <c r="D186" s="53"/>
      <c r="E186" s="20"/>
      <c r="G186"/>
      <c r="H186"/>
      <c r="I186"/>
    </row>
    <row r="187" spans="1:9" s="1" customFormat="1" x14ac:dyDescent="0.25">
      <c r="A187" s="26">
        <v>1206010001</v>
      </c>
      <c r="B187" s="10">
        <v>61901</v>
      </c>
      <c r="C187" s="8" t="s">
        <v>324</v>
      </c>
      <c r="D187" s="53"/>
      <c r="E187" s="20"/>
      <c r="G187"/>
      <c r="H187"/>
      <c r="I187"/>
    </row>
    <row r="188" spans="1:9" s="1" customFormat="1" x14ac:dyDescent="0.25">
      <c r="A188" s="26">
        <v>1206010002</v>
      </c>
      <c r="B188" s="10">
        <v>62101</v>
      </c>
      <c r="C188" s="8" t="s">
        <v>325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62301</v>
      </c>
      <c r="C189" s="8" t="s">
        <v>326</v>
      </c>
      <c r="D189" s="53"/>
      <c r="E189" s="20"/>
      <c r="G189"/>
      <c r="H189"/>
      <c r="I189"/>
    </row>
    <row r="190" spans="1:9" s="1" customFormat="1" x14ac:dyDescent="0.25">
      <c r="A190" s="26"/>
      <c r="B190" s="10">
        <v>63201</v>
      </c>
      <c r="C190" s="8" t="s">
        <v>327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63401</v>
      </c>
      <c r="C191" s="8" t="s">
        <v>328</v>
      </c>
      <c r="D191" s="53"/>
      <c r="E191" s="20"/>
      <c r="G191"/>
      <c r="H191"/>
      <c r="I191"/>
    </row>
    <row r="192" spans="1:9" s="1" customFormat="1" x14ac:dyDescent="0.25">
      <c r="A192" s="26">
        <v>1206010003</v>
      </c>
      <c r="B192" s="10">
        <v>64101</v>
      </c>
      <c r="C192" s="8" t="s">
        <v>329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64601</v>
      </c>
      <c r="C193" s="8" t="s">
        <v>330</v>
      </c>
      <c r="D193" s="53"/>
      <c r="E193" s="20"/>
      <c r="G193"/>
      <c r="H193"/>
      <c r="I193"/>
    </row>
    <row r="194" spans="1:9" s="1" customFormat="1" x14ac:dyDescent="0.25">
      <c r="A194" s="26"/>
      <c r="B194" s="51">
        <v>64701</v>
      </c>
      <c r="C194" s="52" t="s">
        <v>331</v>
      </c>
      <c r="D194" s="53"/>
      <c r="E194" s="20"/>
      <c r="G194"/>
      <c r="H194"/>
      <c r="I194"/>
    </row>
    <row r="195" spans="1:9" s="1" customFormat="1" x14ac:dyDescent="0.25">
      <c r="A195" s="26">
        <v>1206010003</v>
      </c>
      <c r="B195" s="51">
        <v>64801</v>
      </c>
      <c r="C195" s="52" t="s">
        <v>332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65201</v>
      </c>
      <c r="C196" s="8" t="s">
        <v>333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65401</v>
      </c>
      <c r="C197" s="8" t="s">
        <v>334</v>
      </c>
      <c r="D197" s="53">
        <v>739156.9</v>
      </c>
      <c r="E197" s="20"/>
      <c r="G197"/>
      <c r="H197"/>
      <c r="I197"/>
    </row>
    <row r="198" spans="1:9" s="1" customFormat="1" x14ac:dyDescent="0.25">
      <c r="A198" s="26">
        <v>1206010006</v>
      </c>
      <c r="B198" s="10">
        <v>65501</v>
      </c>
      <c r="C198" s="8" t="s">
        <v>335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65601</v>
      </c>
      <c r="C199" s="8" t="s">
        <v>336</v>
      </c>
      <c r="D199" s="53">
        <v>787839.75</v>
      </c>
      <c r="E199" s="20"/>
      <c r="G199"/>
      <c r="H199"/>
      <c r="I199"/>
    </row>
    <row r="200" spans="1:9" s="1" customFormat="1" x14ac:dyDescent="0.25">
      <c r="A200" s="26">
        <v>1206010008</v>
      </c>
      <c r="B200" s="10">
        <v>65701</v>
      </c>
      <c r="C200" s="8" t="s">
        <v>337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65801</v>
      </c>
      <c r="C201" s="8" t="s">
        <v>338</v>
      </c>
      <c r="D201" s="53"/>
      <c r="E201" s="20"/>
      <c r="G201"/>
      <c r="H201"/>
      <c r="I201"/>
    </row>
    <row r="202" spans="1:9" s="1" customFormat="1" x14ac:dyDescent="0.25">
      <c r="A202" s="26">
        <v>1206980001</v>
      </c>
      <c r="B202" s="10">
        <v>66201</v>
      </c>
      <c r="C202" s="8" t="s">
        <v>339</v>
      </c>
      <c r="D202" s="53"/>
      <c r="E202" s="20"/>
      <c r="G202"/>
      <c r="H202"/>
      <c r="I202"/>
    </row>
    <row r="203" spans="1:9" s="1" customFormat="1" x14ac:dyDescent="0.25">
      <c r="A203" s="26">
        <v>1208010003</v>
      </c>
      <c r="B203" s="10">
        <v>68301</v>
      </c>
      <c r="C203" s="8" t="s">
        <v>340</v>
      </c>
      <c r="D203" s="53"/>
      <c r="E203" s="20"/>
      <c r="G203"/>
      <c r="H203"/>
      <c r="I203"/>
    </row>
    <row r="204" spans="1:9" s="1" customFormat="1" x14ac:dyDescent="0.25">
      <c r="A204" s="26">
        <v>1206020002</v>
      </c>
      <c r="B204" s="10">
        <v>69201</v>
      </c>
      <c r="C204" s="8" t="s">
        <v>341</v>
      </c>
      <c r="D204" s="53"/>
      <c r="E204" s="20"/>
      <c r="G204"/>
      <c r="H204"/>
      <c r="I204"/>
    </row>
    <row r="205" spans="1:9" s="1" customFormat="1" x14ac:dyDescent="0.25">
      <c r="A205" s="26">
        <v>1206980004</v>
      </c>
      <c r="B205" s="10">
        <v>69502</v>
      </c>
      <c r="C205" s="8" t="s">
        <v>342</v>
      </c>
      <c r="D205" s="53"/>
      <c r="E205" s="20"/>
      <c r="G205"/>
      <c r="H205"/>
      <c r="I205"/>
    </row>
    <row r="206" spans="1:9" s="1" customFormat="1" ht="30" x14ac:dyDescent="0.25">
      <c r="A206" s="26"/>
      <c r="B206" s="10">
        <v>69601</v>
      </c>
      <c r="C206" s="8" t="s">
        <v>359</v>
      </c>
      <c r="D206" s="53"/>
      <c r="E206" s="20"/>
      <c r="G206"/>
      <c r="H206"/>
      <c r="I206"/>
    </row>
    <row r="207" spans="1:9" s="1" customFormat="1" x14ac:dyDescent="0.25">
      <c r="A207" s="27"/>
      <c r="B207" s="69">
        <v>7</v>
      </c>
      <c r="C207" s="63" t="s">
        <v>343</v>
      </c>
      <c r="D207" s="57">
        <f>SUM(D208:D209)</f>
        <v>1000000.18</v>
      </c>
      <c r="E207" s="25"/>
      <c r="G207"/>
      <c r="H207"/>
      <c r="I207"/>
    </row>
    <row r="208" spans="1:9" s="1" customFormat="1" x14ac:dyDescent="0.25">
      <c r="A208" s="27" t="s">
        <v>344</v>
      </c>
      <c r="B208" s="10">
        <v>71201</v>
      </c>
      <c r="C208" s="8" t="s">
        <v>345</v>
      </c>
      <c r="D208" s="24">
        <v>1000000.18</v>
      </c>
      <c r="E208" s="25"/>
      <c r="G208"/>
      <c r="H208"/>
      <c r="I208"/>
    </row>
    <row r="209" spans="1:9" s="1" customFormat="1" x14ac:dyDescent="0.25">
      <c r="A209" s="27" t="s">
        <v>346</v>
      </c>
      <c r="B209" s="10">
        <v>71501</v>
      </c>
      <c r="C209" s="8" t="s">
        <v>347</v>
      </c>
      <c r="D209" s="24"/>
      <c r="E209" s="25"/>
      <c r="G209"/>
      <c r="H209"/>
      <c r="I209"/>
    </row>
    <row r="210" spans="1:9" s="1" customFormat="1" x14ac:dyDescent="0.25">
      <c r="A210" s="72"/>
      <c r="B210" s="51"/>
      <c r="C210" s="52"/>
      <c r="D210" s="71">
        <f>+D183+D207</f>
        <v>3260795.47</v>
      </c>
      <c r="E210" s="19"/>
      <c r="G210"/>
      <c r="H210"/>
      <c r="I210"/>
    </row>
    <row r="211" spans="1:9" s="1" customFormat="1" x14ac:dyDescent="0.25">
      <c r="A211" s="86"/>
      <c r="B211" s="61"/>
      <c r="C211" s="87"/>
      <c r="D211" s="88"/>
      <c r="E211" s="19"/>
      <c r="G211"/>
      <c r="H211"/>
      <c r="I211"/>
    </row>
    <row r="212" spans="1:9" s="1" customFormat="1" x14ac:dyDescent="0.25">
      <c r="A212"/>
      <c r="B212"/>
      <c r="C212" s="2" t="s">
        <v>376</v>
      </c>
      <c r="E212" s="21"/>
      <c r="G212"/>
      <c r="H212"/>
      <c r="I212"/>
    </row>
    <row r="213" spans="1:9" s="1" customFormat="1" x14ac:dyDescent="0.25">
      <c r="A213"/>
      <c r="B213"/>
      <c r="C213" s="2"/>
      <c r="E213" s="21"/>
      <c r="G213"/>
      <c r="H213"/>
      <c r="I213"/>
    </row>
    <row r="214" spans="1:9" s="1" customFormat="1" x14ac:dyDescent="0.25">
      <c r="A214"/>
      <c r="B214"/>
      <c r="C214" s="2"/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 t="s">
        <v>377</v>
      </c>
      <c r="E216" s="21"/>
      <c r="G216"/>
      <c r="H216"/>
      <c r="I216"/>
    </row>
    <row r="217" spans="1:9" s="1" customFormat="1" x14ac:dyDescent="0.25">
      <c r="A217"/>
      <c r="B217"/>
      <c r="C217" s="2" t="s">
        <v>349</v>
      </c>
      <c r="E217" s="21"/>
      <c r="G217"/>
      <c r="H217"/>
      <c r="I217"/>
    </row>
    <row r="218" spans="1:9" s="1" customFormat="1" x14ac:dyDescent="0.25">
      <c r="A218"/>
      <c r="B218"/>
      <c r="C218"/>
      <c r="D218"/>
      <c r="E218" s="22"/>
      <c r="G218"/>
      <c r="H218"/>
      <c r="I218"/>
    </row>
    <row r="219" spans="1:9" s="1" customFormat="1" x14ac:dyDescent="0.25">
      <c r="A219"/>
      <c r="B219"/>
      <c r="C219"/>
      <c r="D219"/>
      <c r="G219"/>
      <c r="H219"/>
      <c r="I219"/>
    </row>
    <row r="220" spans="1:9" s="1" customFormat="1" x14ac:dyDescent="0.25">
      <c r="A220"/>
      <c r="B220"/>
      <c r="C220"/>
      <c r="D220"/>
      <c r="G220"/>
      <c r="H220"/>
      <c r="I220"/>
    </row>
  </sheetData>
  <mergeCells count="8">
    <mergeCell ref="B8:C8"/>
    <mergeCell ref="B178:C17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6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tabSelected="1" zoomScaleNormal="100" workbookViewId="0">
      <selection activeCell="A50" sqref="A50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7.7109375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394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379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89" t="s">
        <v>16</v>
      </c>
    </row>
    <row r="9" spans="1:27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22</v>
      </c>
      <c r="Z10" s="37"/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>
        <v>1452336714.01</v>
      </c>
    </row>
    <row r="12" spans="1:27" x14ac:dyDescent="0.25">
      <c r="A12" t="s">
        <v>385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35466875.649999999</v>
      </c>
    </row>
    <row r="13" spans="1:27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37">
        <v>27965385.690000001</v>
      </c>
    </row>
    <row r="14" spans="1:27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v>0</v>
      </c>
    </row>
    <row r="15" spans="1:27" ht="15.75" thickBot="1" x14ac:dyDescent="0.3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31">
        <f>SUM(Z11:Z14)</f>
        <v>1515768975.3500001</v>
      </c>
    </row>
    <row r="16" spans="1:27" ht="15.75" thickTop="1" x14ac:dyDescent="0.25">
      <c r="Z16" s="37"/>
    </row>
    <row r="17" spans="1:27" x14ac:dyDescent="0.25">
      <c r="A17" s="90" t="s">
        <v>28</v>
      </c>
      <c r="Z17" s="37"/>
    </row>
    <row r="18" spans="1:27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7">
        <v>556099009.00999999</v>
      </c>
    </row>
    <row r="19" spans="1:27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66507624.700000003</v>
      </c>
      <c r="AA19" s="37"/>
    </row>
    <row r="20" spans="1:27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7">
        <v>-197830237.47999999</v>
      </c>
      <c r="AA20" s="39"/>
    </row>
    <row r="21" spans="1:27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7">
        <v>-49672294.409999996</v>
      </c>
    </row>
    <row r="22" spans="1:27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375104101.82000005</v>
      </c>
    </row>
    <row r="23" spans="1:27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1890873077.1700001</v>
      </c>
    </row>
    <row r="24" spans="1:27" ht="15.75" thickTop="1" x14ac:dyDescent="0.25"/>
    <row r="25" spans="1:27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22</v>
      </c>
      <c r="Z26" s="37"/>
    </row>
    <row r="27" spans="1:27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2918.1</v>
      </c>
    </row>
    <row r="28" spans="1:27" x14ac:dyDescent="0.25">
      <c r="A28" t="s">
        <v>37</v>
      </c>
      <c r="Z28" s="37">
        <v>6807391.4400000004</v>
      </c>
    </row>
    <row r="29" spans="1:27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7">
        <v>0</v>
      </c>
    </row>
    <row r="30" spans="1:27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6810309.54</v>
      </c>
    </row>
    <row r="32" spans="1:27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6810309.54</v>
      </c>
      <c r="AD33" s="37"/>
      <c r="AE33" s="1"/>
    </row>
    <row r="35" spans="1:31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55012352.42+500000000</f>
        <v>555012352.41999996</v>
      </c>
      <c r="AD39" s="37"/>
    </row>
    <row r="40" spans="1:31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1884062767.6299996</v>
      </c>
      <c r="AE40" s="37"/>
    </row>
    <row r="41" spans="1:31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Y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>+Z33+Z40</f>
        <v>1890873077.1699996</v>
      </c>
      <c r="AA41" s="37"/>
      <c r="AB41" s="37">
        <f>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380</v>
      </c>
      <c r="G45" s="1">
        <f>+G41-G23</f>
        <v>0</v>
      </c>
    </row>
    <row r="46" spans="1:31" x14ac:dyDescent="0.25">
      <c r="A46" s="92" t="s">
        <v>381</v>
      </c>
    </row>
    <row r="47" spans="1:31" x14ac:dyDescent="0.25">
      <c r="A47" t="s">
        <v>52</v>
      </c>
    </row>
    <row r="48" spans="1:31" x14ac:dyDescent="0.25">
      <c r="A48" s="91" t="s">
        <v>425</v>
      </c>
    </row>
    <row r="49" spans="1:1" x14ac:dyDescent="0.25">
      <c r="A49" s="92" t="s">
        <v>54</v>
      </c>
    </row>
    <row r="260" spans="27:27" x14ac:dyDescent="0.25">
      <c r="AA260" t="s">
        <v>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rowBreaks count="2" manualBreakCount="2">
    <brk id="50" max="25" man="1"/>
    <brk id="69" max="25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topLeftCell="A16" zoomScaleNormal="100" workbookViewId="0">
      <selection activeCell="D97" sqref="D97"/>
    </sheetView>
  </sheetViews>
  <sheetFormatPr baseColWidth="10" defaultColWidth="11.42578125" defaultRowHeight="15" x14ac:dyDescent="0.25"/>
  <cols>
    <col min="1" max="1" width="20.1406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105" t="s">
        <v>395</v>
      </c>
      <c r="B4" s="105"/>
      <c r="C4" s="105"/>
      <c r="D4" s="105"/>
      <c r="E4" s="105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396</v>
      </c>
      <c r="E8" s="3" t="s">
        <v>397</v>
      </c>
    </row>
    <row r="9" spans="1:7" x14ac:dyDescent="0.25">
      <c r="A9" s="69" t="s">
        <v>61</v>
      </c>
      <c r="B9" s="70" t="s">
        <v>62</v>
      </c>
      <c r="C9" s="63" t="s">
        <v>63</v>
      </c>
      <c r="D9" s="71"/>
      <c r="E9" s="71"/>
    </row>
    <row r="10" spans="1:7" x14ac:dyDescent="0.25">
      <c r="A10" s="10" t="s">
        <v>64</v>
      </c>
      <c r="B10" s="7" t="s">
        <v>65</v>
      </c>
      <c r="C10" s="8" t="s">
        <v>383</v>
      </c>
      <c r="D10" s="53">
        <v>35466875.649999999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667544554.05999994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8110400.1399999997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93">
        <v>373761.94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4" t="s">
        <v>77</v>
      </c>
      <c r="D15" s="9"/>
      <c r="E15" s="85">
        <f>SUM(D10:D14)</f>
        <v>711495591.78999996</v>
      </c>
    </row>
    <row r="16" spans="1:7" x14ac:dyDescent="0.25">
      <c r="A16" s="51"/>
      <c r="B16" s="51"/>
      <c r="C16" s="83" t="s">
        <v>78</v>
      </c>
      <c r="D16" s="64">
        <f>+D17+D43+D101+D156+D186</f>
        <v>130640047.61</v>
      </c>
      <c r="E16" s="64">
        <f>+D16</f>
        <v>130640047.61</v>
      </c>
    </row>
    <row r="17" spans="1:9" x14ac:dyDescent="0.25">
      <c r="A17" s="51"/>
      <c r="B17" s="69">
        <v>1</v>
      </c>
      <c r="C17" s="63" t="s">
        <v>79</v>
      </c>
      <c r="D17" s="57">
        <f>SUM(D18:D42)</f>
        <v>61704254.979999997</v>
      </c>
      <c r="E17" s="57" t="s">
        <v>3</v>
      </c>
    </row>
    <row r="18" spans="1:9" ht="18" customHeight="1" x14ac:dyDescent="0.25">
      <c r="A18" s="51" t="s">
        <v>80</v>
      </c>
      <c r="B18" s="51">
        <v>11101</v>
      </c>
      <c r="C18" s="52" t="s">
        <v>81</v>
      </c>
      <c r="D18" s="53">
        <f>1225000+19417051.2</f>
        <v>20642051.199999999</v>
      </c>
      <c r="E18" s="53"/>
    </row>
    <row r="19" spans="1:9" ht="18" customHeight="1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ht="18" customHeight="1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ht="18" customHeight="1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18" customHeight="1" x14ac:dyDescent="0.25">
      <c r="A22" s="10" t="s">
        <v>88</v>
      </c>
      <c r="B22" s="10">
        <v>11205</v>
      </c>
      <c r="C22" s="8" t="s">
        <v>89</v>
      </c>
      <c r="D22" s="65"/>
      <c r="E22" s="9"/>
    </row>
    <row r="23" spans="1:9" ht="18" customHeight="1" x14ac:dyDescent="0.25">
      <c r="A23" s="10"/>
      <c r="B23" s="10">
        <v>11208</v>
      </c>
      <c r="C23" s="8" t="s">
        <v>90</v>
      </c>
      <c r="D23" s="65">
        <v>7169000</v>
      </c>
      <c r="E23" s="9"/>
    </row>
    <row r="24" spans="1:9" ht="18" customHeight="1" x14ac:dyDescent="0.25">
      <c r="A24" s="10"/>
      <c r="B24" s="10">
        <v>11210</v>
      </c>
      <c r="C24" s="8" t="s">
        <v>91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92</v>
      </c>
      <c r="D25" s="53">
        <v>91000</v>
      </c>
      <c r="E25" s="53"/>
    </row>
    <row r="26" spans="1:9" ht="18" customHeight="1" x14ac:dyDescent="0.25">
      <c r="A26" s="10" t="s">
        <v>93</v>
      </c>
      <c r="B26" s="10">
        <v>11401</v>
      </c>
      <c r="C26" s="8" t="s">
        <v>370</v>
      </c>
      <c r="D26" s="53"/>
      <c r="E26" s="53"/>
    </row>
    <row r="27" spans="1:9" ht="18" customHeight="1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97</v>
      </c>
      <c r="D28" s="53">
        <v>330000</v>
      </c>
      <c r="E28" s="53"/>
    </row>
    <row r="29" spans="1:9" ht="18" customHeight="1" x14ac:dyDescent="0.25">
      <c r="A29" s="10"/>
      <c r="B29" s="10">
        <v>11504</v>
      </c>
      <c r="C29" s="8" t="s">
        <v>98</v>
      </c>
      <c r="D29" s="53">
        <f>78910.94+83064.14</f>
        <v>161975.08000000002</v>
      </c>
      <c r="E29" s="53"/>
    </row>
    <row r="30" spans="1:9" ht="18" customHeight="1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100</v>
      </c>
      <c r="D31" s="53"/>
      <c r="E31" s="53"/>
    </row>
    <row r="32" spans="1:9" ht="18" customHeight="1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6" ht="18" customHeight="1" x14ac:dyDescent="0.25">
      <c r="A33" s="10" t="s">
        <v>103</v>
      </c>
      <c r="B33" s="10">
        <v>12205</v>
      </c>
      <c r="C33" s="8" t="s">
        <v>104</v>
      </c>
      <c r="D33" s="53">
        <v>1480000</v>
      </c>
      <c r="E33" s="53"/>
    </row>
    <row r="34" spans="1:6" ht="18" customHeight="1" x14ac:dyDescent="0.25">
      <c r="A34" s="10" t="s">
        <v>105</v>
      </c>
      <c r="B34" s="10">
        <v>12206</v>
      </c>
      <c r="C34" s="8" t="s">
        <v>106</v>
      </c>
      <c r="D34" s="53"/>
      <c r="E34" s="53"/>
    </row>
    <row r="35" spans="1:6" ht="18" customHeight="1" x14ac:dyDescent="0.25">
      <c r="A35" s="10" t="s">
        <v>107</v>
      </c>
      <c r="B35" s="10">
        <v>12209</v>
      </c>
      <c r="C35" s="8" t="s">
        <v>108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109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100</v>
      </c>
      <c r="D37" s="53">
        <v>27602400.059999999</v>
      </c>
      <c r="E37" s="53"/>
    </row>
    <row r="38" spans="1:6" ht="18" customHeight="1" x14ac:dyDescent="0.25">
      <c r="A38" s="10"/>
      <c r="B38" s="10">
        <v>13201</v>
      </c>
      <c r="C38" s="8" t="s">
        <v>110</v>
      </c>
      <c r="D38" s="53"/>
      <c r="E38" s="53"/>
    </row>
    <row r="39" spans="1:6" ht="18" customHeight="1" x14ac:dyDescent="0.25">
      <c r="A39" s="10" t="s">
        <v>111</v>
      </c>
      <c r="B39" s="10">
        <v>13101</v>
      </c>
      <c r="C39" s="8" t="s">
        <v>112</v>
      </c>
      <c r="D39" s="53"/>
      <c r="E39" s="53"/>
    </row>
    <row r="40" spans="1:6" ht="18" customHeight="1" x14ac:dyDescent="0.25">
      <c r="A40" s="10" t="s">
        <v>113</v>
      </c>
      <c r="B40" s="10">
        <v>15101</v>
      </c>
      <c r="C40" s="8" t="s">
        <v>114</v>
      </c>
      <c r="D40" s="54">
        <f>86852.5+1884144.54</f>
        <v>1970997.04</v>
      </c>
      <c r="E40" s="53"/>
    </row>
    <row r="41" spans="1:6" ht="18" customHeight="1" x14ac:dyDescent="0.25">
      <c r="A41" s="10" t="s">
        <v>115</v>
      </c>
      <c r="B41" s="10">
        <v>15201</v>
      </c>
      <c r="C41" s="8" t="s">
        <v>116</v>
      </c>
      <c r="D41" s="53">
        <f>86975+1894070.64</f>
        <v>1981045.64</v>
      </c>
      <c r="E41" s="53"/>
    </row>
    <row r="42" spans="1:6" ht="18" customHeight="1" x14ac:dyDescent="0.25">
      <c r="A42" s="10"/>
      <c r="B42" s="10">
        <v>15301</v>
      </c>
      <c r="C42" s="8" t="s">
        <v>117</v>
      </c>
      <c r="D42" s="53">
        <f>13475+262310.96</f>
        <v>275785.96000000002</v>
      </c>
      <c r="E42" s="53"/>
    </row>
    <row r="43" spans="1:6" ht="18" customHeight="1" x14ac:dyDescent="0.25">
      <c r="A43" s="51"/>
      <c r="B43" s="69">
        <v>2</v>
      </c>
      <c r="C43" s="63" t="s">
        <v>118</v>
      </c>
      <c r="D43" s="57">
        <f>SUM(D44:D100)</f>
        <v>21896368.170000002</v>
      </c>
      <c r="E43" s="57"/>
    </row>
    <row r="44" spans="1:6" ht="18" customHeight="1" x14ac:dyDescent="0.25">
      <c r="A44" s="10" t="s">
        <v>119</v>
      </c>
      <c r="B44" s="10">
        <v>21201</v>
      </c>
      <c r="C44" s="8" t="s">
        <v>120</v>
      </c>
      <c r="D44" s="54">
        <v>46504.72</v>
      </c>
      <c r="E44" s="53"/>
    </row>
    <row r="45" spans="1:6" ht="18" customHeight="1" x14ac:dyDescent="0.25">
      <c r="A45" s="10" t="s">
        <v>121</v>
      </c>
      <c r="B45" s="10">
        <v>21301</v>
      </c>
      <c r="C45" s="8" t="s">
        <v>122</v>
      </c>
      <c r="D45" s="53">
        <v>97589.16</v>
      </c>
      <c r="E45" s="53"/>
    </row>
    <row r="46" spans="1:6" ht="18" customHeight="1" x14ac:dyDescent="0.25">
      <c r="A46" s="10" t="s">
        <v>123</v>
      </c>
      <c r="B46" s="10">
        <v>21401</v>
      </c>
      <c r="C46" s="8" t="s">
        <v>124</v>
      </c>
      <c r="D46" s="53"/>
      <c r="E46" s="53"/>
    </row>
    <row r="47" spans="1:6" ht="18" customHeight="1" x14ac:dyDescent="0.25">
      <c r="A47" s="10" t="s">
        <v>125</v>
      </c>
      <c r="B47" s="10">
        <v>21501</v>
      </c>
      <c r="C47" s="8" t="s">
        <v>126</v>
      </c>
      <c r="D47" s="53">
        <v>2871457.64</v>
      </c>
      <c r="E47" s="53"/>
      <c r="F47"/>
    </row>
    <row r="48" spans="1:6" ht="18" customHeight="1" x14ac:dyDescent="0.25">
      <c r="A48" s="10" t="s">
        <v>127</v>
      </c>
      <c r="B48" s="10">
        <v>21601</v>
      </c>
      <c r="C48" s="8" t="s">
        <v>128</v>
      </c>
      <c r="D48" s="53">
        <v>709082.42</v>
      </c>
      <c r="E48" s="53"/>
      <c r="F48"/>
    </row>
    <row r="49" spans="1:6" ht="18" customHeight="1" x14ac:dyDescent="0.25">
      <c r="A49" s="10" t="s">
        <v>129</v>
      </c>
      <c r="B49" s="10">
        <v>21701</v>
      </c>
      <c r="C49" s="8" t="s">
        <v>130</v>
      </c>
      <c r="D49" s="53">
        <f>450+7530</f>
        <v>7980</v>
      </c>
      <c r="E49" s="53"/>
      <c r="F49"/>
    </row>
    <row r="50" spans="1:6" ht="18" customHeight="1" x14ac:dyDescent="0.25">
      <c r="A50" s="10" t="s">
        <v>131</v>
      </c>
      <c r="B50" s="10">
        <v>21801</v>
      </c>
      <c r="C50" s="8" t="s">
        <v>132</v>
      </c>
      <c r="D50" s="53">
        <f>2600+6982</f>
        <v>9582</v>
      </c>
      <c r="E50" s="53"/>
      <c r="F50"/>
    </row>
    <row r="51" spans="1:6" ht="18" customHeight="1" x14ac:dyDescent="0.25">
      <c r="A51" s="10" t="s">
        <v>133</v>
      </c>
      <c r="B51" s="10">
        <v>22101</v>
      </c>
      <c r="C51" s="8" t="s">
        <v>134</v>
      </c>
      <c r="D51" s="53">
        <f>41666.67+41666.67</f>
        <v>83333.34</v>
      </c>
      <c r="E51" s="53"/>
      <c r="F51"/>
    </row>
    <row r="52" spans="1:6" ht="18" customHeight="1" x14ac:dyDescent="0.25">
      <c r="A52" s="10"/>
      <c r="B52" s="10">
        <v>22103</v>
      </c>
      <c r="C52" s="8" t="s">
        <v>371</v>
      </c>
      <c r="D52" s="53">
        <v>191877.77</v>
      </c>
      <c r="E52" s="53"/>
      <c r="F52"/>
    </row>
    <row r="53" spans="1:6" ht="18" customHeight="1" x14ac:dyDescent="0.25">
      <c r="A53" s="10" t="s">
        <v>135</v>
      </c>
      <c r="B53" s="10">
        <v>22201</v>
      </c>
      <c r="C53" s="8" t="s">
        <v>136</v>
      </c>
      <c r="D53" s="53">
        <v>281670.71999999997</v>
      </c>
      <c r="E53" s="53"/>
      <c r="F53"/>
    </row>
    <row r="54" spans="1:6" ht="18" customHeight="1" x14ac:dyDescent="0.25">
      <c r="A54" s="10" t="s">
        <v>137</v>
      </c>
      <c r="B54" s="10">
        <v>23101</v>
      </c>
      <c r="C54" s="8" t="s">
        <v>138</v>
      </c>
      <c r="D54" s="53">
        <f>1431440+578250</f>
        <v>2009690</v>
      </c>
      <c r="E54" s="53"/>
      <c r="F54"/>
    </row>
    <row r="55" spans="1:6" ht="18" customHeight="1" x14ac:dyDescent="0.25">
      <c r="A55" s="10" t="s">
        <v>139</v>
      </c>
      <c r="B55" s="10">
        <v>23201</v>
      </c>
      <c r="C55" s="8" t="s">
        <v>140</v>
      </c>
      <c r="D55" s="53">
        <v>1169480.8999999999</v>
      </c>
      <c r="E55" s="53"/>
      <c r="F55"/>
    </row>
    <row r="56" spans="1:6" ht="18" customHeight="1" x14ac:dyDescent="0.25">
      <c r="A56" s="10" t="s">
        <v>141</v>
      </c>
      <c r="B56" s="10">
        <v>24101</v>
      </c>
      <c r="C56" s="8" t="s">
        <v>372</v>
      </c>
      <c r="D56" s="53"/>
      <c r="E56" s="53"/>
      <c r="F56"/>
    </row>
    <row r="57" spans="1:6" ht="18" customHeight="1" x14ac:dyDescent="0.25">
      <c r="A57" s="10" t="s">
        <v>143</v>
      </c>
      <c r="B57" s="10">
        <v>24201</v>
      </c>
      <c r="C57" s="8" t="s">
        <v>144</v>
      </c>
      <c r="D57" s="53"/>
      <c r="E57" s="53"/>
      <c r="F57"/>
    </row>
    <row r="58" spans="1:6" ht="18" customHeight="1" x14ac:dyDescent="0.25">
      <c r="A58" s="10" t="s">
        <v>145</v>
      </c>
      <c r="B58" s="10">
        <v>24401</v>
      </c>
      <c r="C58" s="8" t="s">
        <v>146</v>
      </c>
      <c r="D58" s="53">
        <v>4120</v>
      </c>
      <c r="E58" s="53"/>
      <c r="F58"/>
    </row>
    <row r="59" spans="1:6" ht="18" customHeight="1" x14ac:dyDescent="0.25">
      <c r="A59" s="10" t="s">
        <v>147</v>
      </c>
      <c r="B59" s="10">
        <v>25101</v>
      </c>
      <c r="C59" s="8" t="s">
        <v>148</v>
      </c>
      <c r="D59" s="53">
        <v>1401224.56</v>
      </c>
      <c r="E59" s="53"/>
      <c r="F59"/>
    </row>
    <row r="60" spans="1:6" ht="18" customHeight="1" x14ac:dyDescent="0.25">
      <c r="A60" s="10"/>
      <c r="B60" s="10">
        <v>25302</v>
      </c>
      <c r="C60" s="8" t="s">
        <v>149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150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151</v>
      </c>
      <c r="D62" s="53"/>
      <c r="E62" s="53"/>
    </row>
    <row r="63" spans="1:6" ht="18" customHeight="1" x14ac:dyDescent="0.25">
      <c r="A63" s="10" t="s">
        <v>152</v>
      </c>
      <c r="B63" s="10">
        <v>25401</v>
      </c>
      <c r="C63" s="8" t="s">
        <v>153</v>
      </c>
      <c r="D63" s="53">
        <v>157000</v>
      </c>
      <c r="E63" s="53"/>
    </row>
    <row r="64" spans="1:6" ht="18" customHeight="1" x14ac:dyDescent="0.25">
      <c r="A64" s="10" t="s">
        <v>154</v>
      </c>
      <c r="B64" s="10">
        <v>25801</v>
      </c>
      <c r="C64" s="8" t="s">
        <v>155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352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156</v>
      </c>
      <c r="D66" s="53"/>
      <c r="E66" s="53"/>
    </row>
    <row r="67" spans="1:9" s="1" customFormat="1" ht="18" customHeight="1" x14ac:dyDescent="0.25">
      <c r="A67" s="10" t="s">
        <v>157</v>
      </c>
      <c r="B67" s="10">
        <v>26201</v>
      </c>
      <c r="C67" s="8" t="s">
        <v>158</v>
      </c>
      <c r="D67" s="53"/>
      <c r="E67" s="53"/>
      <c r="G67"/>
      <c r="H67"/>
      <c r="I67"/>
    </row>
    <row r="68" spans="1:9" s="1" customFormat="1" ht="18" customHeight="1" x14ac:dyDescent="0.25">
      <c r="A68" s="10" t="s">
        <v>159</v>
      </c>
      <c r="B68" s="10">
        <v>26301</v>
      </c>
      <c r="C68" s="8" t="s">
        <v>160</v>
      </c>
      <c r="D68" s="53">
        <v>1238539.57</v>
      </c>
      <c r="E68" s="53"/>
      <c r="G68"/>
      <c r="H68"/>
      <c r="I68"/>
    </row>
    <row r="69" spans="1:9" s="1" customFormat="1" ht="18" customHeight="1" x14ac:dyDescent="0.25">
      <c r="A69" s="10" t="s">
        <v>161</v>
      </c>
      <c r="B69" s="10">
        <v>27101</v>
      </c>
      <c r="C69" s="8" t="s">
        <v>162</v>
      </c>
      <c r="D69" s="53"/>
      <c r="E69" s="53"/>
      <c r="G69"/>
      <c r="H69"/>
      <c r="I69"/>
    </row>
    <row r="70" spans="1:9" s="1" customFormat="1" ht="18" customHeight="1" x14ac:dyDescent="0.25">
      <c r="A70" s="10" t="s">
        <v>163</v>
      </c>
      <c r="B70" s="10">
        <v>27102</v>
      </c>
      <c r="C70" s="8" t="s">
        <v>164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165</v>
      </c>
      <c r="D71" s="53"/>
      <c r="E71" s="53"/>
      <c r="G71"/>
      <c r="H71"/>
      <c r="I71"/>
    </row>
    <row r="72" spans="1:9" s="1" customFormat="1" ht="18" customHeight="1" x14ac:dyDescent="0.25">
      <c r="A72" s="10" t="s">
        <v>166</v>
      </c>
      <c r="B72" s="10">
        <v>27106</v>
      </c>
      <c r="C72" s="8" t="s">
        <v>167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168</v>
      </c>
      <c r="D73" s="53"/>
      <c r="E73" s="53"/>
      <c r="G73"/>
      <c r="H73"/>
      <c r="I73"/>
    </row>
    <row r="74" spans="1:9" s="1" customFormat="1" ht="18" customHeight="1" x14ac:dyDescent="0.25">
      <c r="A74" s="10" t="s">
        <v>169</v>
      </c>
      <c r="B74" s="10">
        <v>27201</v>
      </c>
      <c r="C74" s="8" t="s">
        <v>170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171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172</v>
      </c>
      <c r="D76" s="53"/>
      <c r="E76" s="53"/>
      <c r="G76"/>
      <c r="H76"/>
      <c r="I76"/>
    </row>
    <row r="77" spans="1:9" s="1" customFormat="1" ht="18" customHeight="1" x14ac:dyDescent="0.25">
      <c r="A77" s="10" t="s">
        <v>173</v>
      </c>
      <c r="B77" s="10">
        <v>27205</v>
      </c>
      <c r="C77" s="8" t="s">
        <v>174</v>
      </c>
      <c r="D77" s="53"/>
      <c r="E77" s="53"/>
      <c r="G77"/>
      <c r="H77"/>
      <c r="I77"/>
    </row>
    <row r="78" spans="1:9" s="1" customFormat="1" ht="18" customHeight="1" x14ac:dyDescent="0.25">
      <c r="A78" s="10" t="s">
        <v>175</v>
      </c>
      <c r="B78" s="10">
        <v>27206</v>
      </c>
      <c r="C78" s="8" t="s">
        <v>176</v>
      </c>
      <c r="D78" s="53">
        <f>2901107.6+4061.54</f>
        <v>2905169.14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177</v>
      </c>
      <c r="D79" s="53"/>
      <c r="E79" s="53"/>
      <c r="G79"/>
      <c r="H79"/>
      <c r="I79"/>
    </row>
    <row r="80" spans="1:9" s="1" customFormat="1" ht="18" customHeight="1" x14ac:dyDescent="0.25">
      <c r="A80" s="10" t="s">
        <v>178</v>
      </c>
      <c r="B80" s="10">
        <v>28201</v>
      </c>
      <c r="C80" s="8" t="s">
        <v>179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180</v>
      </c>
      <c r="D81" s="53">
        <v>51670</v>
      </c>
      <c r="E81" s="53"/>
      <c r="G81"/>
      <c r="H81"/>
      <c r="I81"/>
    </row>
    <row r="82" spans="1:9" s="1" customFormat="1" ht="18" customHeight="1" x14ac:dyDescent="0.25">
      <c r="A82" s="10" t="s">
        <v>181</v>
      </c>
      <c r="B82" s="10">
        <v>28401</v>
      </c>
      <c r="C82" s="8" t="s">
        <v>182</v>
      </c>
      <c r="D82" s="53"/>
      <c r="E82" s="53"/>
      <c r="G82"/>
      <c r="H82"/>
      <c r="I82"/>
    </row>
    <row r="83" spans="1:9" s="1" customFormat="1" ht="18" customHeight="1" x14ac:dyDescent="0.25">
      <c r="A83" s="10" t="s">
        <v>183</v>
      </c>
      <c r="B83" s="10">
        <v>28501</v>
      </c>
      <c r="C83" s="8" t="s">
        <v>184</v>
      </c>
      <c r="D83" s="53">
        <v>101600</v>
      </c>
      <c r="E83" s="53"/>
      <c r="G83"/>
      <c r="H83"/>
      <c r="I83"/>
    </row>
    <row r="84" spans="1:9" s="1" customFormat="1" ht="18" customHeight="1" x14ac:dyDescent="0.25">
      <c r="A84" s="10" t="s">
        <v>185</v>
      </c>
      <c r="B84" s="10">
        <v>28502</v>
      </c>
      <c r="C84" s="8" t="s">
        <v>186</v>
      </c>
      <c r="D84" s="53"/>
      <c r="E84" s="53"/>
      <c r="G84"/>
      <c r="H84"/>
      <c r="I84"/>
    </row>
    <row r="85" spans="1:9" s="1" customFormat="1" ht="18" customHeight="1" x14ac:dyDescent="0.25">
      <c r="A85" s="10" t="s">
        <v>187</v>
      </c>
      <c r="B85" s="10">
        <v>28503</v>
      </c>
      <c r="C85" s="8" t="s">
        <v>188</v>
      </c>
      <c r="D85" s="53">
        <v>126661.2</v>
      </c>
      <c r="E85" s="53"/>
      <c r="G85"/>
      <c r="H85"/>
      <c r="I85"/>
    </row>
    <row r="86" spans="1:9" s="1" customFormat="1" ht="18" customHeight="1" x14ac:dyDescent="0.25">
      <c r="A86" s="10" t="s">
        <v>189</v>
      </c>
      <c r="B86" s="10">
        <v>28601</v>
      </c>
      <c r="C86" s="8" t="s">
        <v>190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191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192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193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194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195</v>
      </c>
      <c r="D91" s="53"/>
      <c r="E91" s="53"/>
      <c r="G91"/>
      <c r="H91"/>
      <c r="I91"/>
    </row>
    <row r="92" spans="1:9" s="1" customFormat="1" ht="18" customHeight="1" x14ac:dyDescent="0.25">
      <c r="A92" s="10" t="s">
        <v>196</v>
      </c>
      <c r="B92" s="10">
        <v>28706</v>
      </c>
      <c r="C92" s="8" t="s">
        <v>197</v>
      </c>
      <c r="D92" s="53">
        <f>40000+2321.99</f>
        <v>42321.99</v>
      </c>
      <c r="E92" s="53"/>
      <c r="G92"/>
      <c r="H92"/>
      <c r="I92"/>
    </row>
    <row r="93" spans="1:9" s="1" customFormat="1" ht="18" customHeight="1" x14ac:dyDescent="0.25">
      <c r="A93" s="10" t="s">
        <v>198</v>
      </c>
      <c r="B93" s="10">
        <v>28801</v>
      </c>
      <c r="C93" s="8" t="s">
        <v>199</v>
      </c>
      <c r="D93" s="53"/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373</v>
      </c>
      <c r="D94" s="53"/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374</v>
      </c>
      <c r="D95" s="53">
        <v>9875.84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375</v>
      </c>
      <c r="D96" s="53">
        <v>1489.98</v>
      </c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361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201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202</v>
      </c>
      <c r="D99" s="53">
        <v>7549522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362</v>
      </c>
      <c r="D100" s="53">
        <v>828925.22</v>
      </c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203</v>
      </c>
      <c r="D101" s="57">
        <f>SUM(D102:D155)</f>
        <v>36393259.100000001</v>
      </c>
      <c r="E101" s="57"/>
      <c r="G101"/>
      <c r="H101"/>
      <c r="I101"/>
    </row>
    <row r="102" spans="1:9" s="1" customFormat="1" ht="18" customHeight="1" x14ac:dyDescent="0.25">
      <c r="A102" s="10" t="s">
        <v>204</v>
      </c>
      <c r="B102" s="10">
        <v>31101</v>
      </c>
      <c r="C102" s="8" t="s">
        <v>205</v>
      </c>
      <c r="D102" s="53">
        <f>19020+56160</f>
        <v>75180</v>
      </c>
      <c r="E102" s="53"/>
      <c r="G102"/>
      <c r="H102"/>
      <c r="I102"/>
    </row>
    <row r="103" spans="1:9" s="1" customFormat="1" ht="18" customHeight="1" x14ac:dyDescent="0.25">
      <c r="A103" s="10" t="s">
        <v>206</v>
      </c>
      <c r="B103" s="10">
        <v>31303</v>
      </c>
      <c r="C103" s="8" t="s">
        <v>207</v>
      </c>
      <c r="D103" s="53">
        <v>244523.59</v>
      </c>
      <c r="E103" s="53"/>
      <c r="G103"/>
      <c r="H103"/>
      <c r="I103"/>
    </row>
    <row r="104" spans="1:9" s="1" customFormat="1" ht="18" customHeight="1" x14ac:dyDescent="0.25">
      <c r="A104" s="10" t="s">
        <v>208</v>
      </c>
      <c r="B104" s="10">
        <v>31401</v>
      </c>
      <c r="C104" s="8" t="s">
        <v>209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210</v>
      </c>
      <c r="B105" s="10">
        <v>32101</v>
      </c>
      <c r="C105" s="8" t="s">
        <v>211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212</v>
      </c>
      <c r="B106" s="10">
        <v>32201</v>
      </c>
      <c r="C106" s="8" t="s">
        <v>213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214</v>
      </c>
      <c r="B107" s="10">
        <v>32301</v>
      </c>
      <c r="C107" s="8" t="s">
        <v>215</v>
      </c>
      <c r="D107" s="53">
        <v>1090000</v>
      </c>
      <c r="E107" s="53"/>
      <c r="G107"/>
      <c r="H107"/>
      <c r="I107"/>
    </row>
    <row r="108" spans="1:9" s="1" customFormat="1" ht="18" customHeight="1" x14ac:dyDescent="0.25">
      <c r="A108" s="10" t="s">
        <v>216</v>
      </c>
      <c r="B108" s="10">
        <v>32401</v>
      </c>
      <c r="C108" s="8" t="s">
        <v>217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218</v>
      </c>
      <c r="B109" s="10">
        <v>33101</v>
      </c>
      <c r="C109" s="8" t="s">
        <v>219</v>
      </c>
      <c r="D109" s="53">
        <v>4977228.5999999996</v>
      </c>
      <c r="E109" s="53"/>
      <c r="G109"/>
      <c r="H109"/>
      <c r="I109"/>
    </row>
    <row r="110" spans="1:9" s="1" customFormat="1" ht="18" customHeight="1" x14ac:dyDescent="0.25">
      <c r="A110" s="10" t="s">
        <v>220</v>
      </c>
      <c r="B110" s="10">
        <v>33201</v>
      </c>
      <c r="C110" s="8" t="s">
        <v>221</v>
      </c>
      <c r="D110" s="53">
        <f>437821.3+800</f>
        <v>438621.3</v>
      </c>
      <c r="E110" s="53"/>
      <c r="G110"/>
      <c r="H110"/>
      <c r="I110"/>
    </row>
    <row r="111" spans="1:9" s="1" customFormat="1" ht="18" customHeight="1" x14ac:dyDescent="0.25">
      <c r="A111" s="10" t="s">
        <v>222</v>
      </c>
      <c r="B111" s="10">
        <v>33301</v>
      </c>
      <c r="C111" s="8" t="s">
        <v>223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224</v>
      </c>
      <c r="B112" s="10">
        <v>33401</v>
      </c>
      <c r="C112" s="8" t="s">
        <v>225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227</v>
      </c>
      <c r="D113" s="53">
        <v>16700000</v>
      </c>
      <c r="E113" s="53"/>
      <c r="G113"/>
      <c r="H113"/>
      <c r="I113"/>
    </row>
    <row r="114" spans="1:9" s="1" customFormat="1" ht="18" customHeight="1" x14ac:dyDescent="0.25">
      <c r="A114" s="10" t="s">
        <v>228</v>
      </c>
      <c r="B114" s="10">
        <v>34101</v>
      </c>
      <c r="C114" s="8" t="s">
        <v>229</v>
      </c>
      <c r="D114" s="53">
        <v>1156285.1000000001</v>
      </c>
      <c r="E114" s="53"/>
      <c r="G114"/>
      <c r="H114"/>
      <c r="I114"/>
    </row>
    <row r="115" spans="1:9" s="1" customFormat="1" ht="18" customHeight="1" x14ac:dyDescent="0.25">
      <c r="A115" s="10" t="s">
        <v>230</v>
      </c>
      <c r="B115" s="10">
        <v>35101</v>
      </c>
      <c r="C115" s="8" t="s">
        <v>231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232</v>
      </c>
      <c r="B116" s="10">
        <v>35201</v>
      </c>
      <c r="C116" s="8" t="s">
        <v>233</v>
      </c>
      <c r="D116" s="53"/>
      <c r="E116" s="53"/>
      <c r="G116"/>
      <c r="H116"/>
      <c r="I116"/>
    </row>
    <row r="117" spans="1:9" ht="18" customHeight="1" x14ac:dyDescent="0.25">
      <c r="A117" s="10" t="s">
        <v>234</v>
      </c>
      <c r="B117" s="10">
        <v>35301</v>
      </c>
      <c r="C117" s="8" t="s">
        <v>235</v>
      </c>
      <c r="D117" s="53">
        <f>763580.36+1397.99</f>
        <v>764978.35</v>
      </c>
      <c r="E117" s="53"/>
    </row>
    <row r="118" spans="1:9" ht="18" customHeight="1" x14ac:dyDescent="0.25">
      <c r="A118" s="10" t="s">
        <v>236</v>
      </c>
      <c r="B118" s="10">
        <v>35401</v>
      </c>
      <c r="C118" s="8" t="s">
        <v>237</v>
      </c>
      <c r="D118" s="53"/>
      <c r="E118" s="53"/>
    </row>
    <row r="119" spans="1:9" ht="18" customHeight="1" x14ac:dyDescent="0.25">
      <c r="A119" s="10" t="s">
        <v>238</v>
      </c>
      <c r="B119" s="10">
        <v>35501</v>
      </c>
      <c r="C119" s="8" t="s">
        <v>239</v>
      </c>
      <c r="D119" s="53">
        <f>38940+306.8</f>
        <v>39246.800000000003</v>
      </c>
      <c r="E119" s="53"/>
    </row>
    <row r="120" spans="1:9" ht="18" customHeight="1" x14ac:dyDescent="0.25">
      <c r="A120" s="10" t="s">
        <v>240</v>
      </c>
      <c r="B120" s="10">
        <v>36101</v>
      </c>
      <c r="C120" s="8" t="s">
        <v>241</v>
      </c>
      <c r="D120" s="53">
        <v>135</v>
      </c>
      <c r="E120" s="53"/>
    </row>
    <row r="121" spans="1:9" ht="18" customHeight="1" x14ac:dyDescent="0.25">
      <c r="A121" s="10"/>
      <c r="B121" s="10">
        <v>36102</v>
      </c>
      <c r="C121" s="8" t="s">
        <v>242</v>
      </c>
      <c r="D121" s="53"/>
      <c r="E121" s="53"/>
    </row>
    <row r="122" spans="1:9" ht="18" customHeight="1" x14ac:dyDescent="0.25">
      <c r="A122" s="10" t="s">
        <v>243</v>
      </c>
      <c r="B122" s="10">
        <v>36104</v>
      </c>
      <c r="C122" s="8" t="s">
        <v>244</v>
      </c>
      <c r="D122" s="53"/>
      <c r="E122" s="53"/>
    </row>
    <row r="123" spans="1:9" ht="18" customHeight="1" x14ac:dyDescent="0.25">
      <c r="A123" s="10" t="s">
        <v>245</v>
      </c>
      <c r="B123" s="10">
        <v>36201</v>
      </c>
      <c r="C123" s="8" t="s">
        <v>246</v>
      </c>
      <c r="D123" s="53"/>
      <c r="E123" s="53"/>
    </row>
    <row r="124" spans="1:9" ht="18" customHeight="1" x14ac:dyDescent="0.25">
      <c r="A124" s="10" t="s">
        <v>247</v>
      </c>
      <c r="B124" s="10">
        <v>36202</v>
      </c>
      <c r="C124" s="8" t="s">
        <v>248</v>
      </c>
      <c r="D124" s="53"/>
      <c r="E124" s="53"/>
    </row>
    <row r="125" spans="1:9" ht="18" customHeight="1" x14ac:dyDescent="0.25">
      <c r="A125" s="10" t="s">
        <v>249</v>
      </c>
      <c r="B125" s="10">
        <v>36203</v>
      </c>
      <c r="C125" s="8" t="s">
        <v>250</v>
      </c>
      <c r="D125" s="53"/>
      <c r="E125" s="53"/>
    </row>
    <row r="126" spans="1:9" ht="18" customHeight="1" x14ac:dyDescent="0.25">
      <c r="A126" s="10" t="s">
        <v>251</v>
      </c>
      <c r="B126" s="10">
        <v>36301</v>
      </c>
      <c r="C126" s="8" t="s">
        <v>252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248</v>
      </c>
      <c r="D127" s="53"/>
      <c r="E127" s="53"/>
    </row>
    <row r="128" spans="1:9" ht="18" customHeight="1" x14ac:dyDescent="0.25">
      <c r="A128" s="10" t="s">
        <v>253</v>
      </c>
      <c r="B128" s="10">
        <v>36303</v>
      </c>
      <c r="C128" s="8" t="s">
        <v>254</v>
      </c>
      <c r="D128" s="53"/>
      <c r="E128" s="53"/>
    </row>
    <row r="129" spans="1:9" ht="18" customHeight="1" x14ac:dyDescent="0.25">
      <c r="A129" s="10" t="s">
        <v>255</v>
      </c>
      <c r="B129" s="10">
        <v>36304</v>
      </c>
      <c r="C129" s="8" t="s">
        <v>256</v>
      </c>
      <c r="D129" s="53">
        <f>60765.28+715</f>
        <v>61480.28</v>
      </c>
      <c r="E129" s="53"/>
    </row>
    <row r="130" spans="1:9" s="1" customFormat="1" ht="18" customHeight="1" x14ac:dyDescent="0.25">
      <c r="A130" s="10" t="s">
        <v>255</v>
      </c>
      <c r="B130" s="10">
        <v>36306</v>
      </c>
      <c r="C130" s="8" t="s">
        <v>257</v>
      </c>
      <c r="D130" s="53">
        <f>13742.18+30.8</f>
        <v>13772.98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258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364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243</v>
      </c>
      <c r="B133" s="51">
        <v>36403</v>
      </c>
      <c r="C133" s="52" t="s">
        <v>259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260</v>
      </c>
      <c r="B134" s="51">
        <v>37101</v>
      </c>
      <c r="C134" s="52" t="s">
        <v>261</v>
      </c>
      <c r="D134" s="53">
        <v>500</v>
      </c>
      <c r="E134" s="53"/>
      <c r="G134"/>
      <c r="H134"/>
      <c r="I134"/>
    </row>
    <row r="135" spans="1:9" s="1" customFormat="1" ht="18" customHeight="1" x14ac:dyDescent="0.25">
      <c r="A135" s="10" t="s">
        <v>262</v>
      </c>
      <c r="B135" s="51">
        <v>37102</v>
      </c>
      <c r="C135" s="52" t="s">
        <v>263</v>
      </c>
      <c r="D135" s="53">
        <v>164116.76999999999</v>
      </c>
      <c r="E135" s="53"/>
      <c r="G135"/>
      <c r="H135"/>
      <c r="I135"/>
    </row>
    <row r="136" spans="1:9" s="1" customFormat="1" ht="18" customHeight="1" x14ac:dyDescent="0.25">
      <c r="A136" s="10" t="s">
        <v>264</v>
      </c>
      <c r="B136" s="51">
        <v>37104</v>
      </c>
      <c r="C136" s="52" t="s">
        <v>265</v>
      </c>
      <c r="D136" s="53"/>
      <c r="E136" s="53"/>
      <c r="G136"/>
      <c r="H136"/>
      <c r="I136"/>
    </row>
    <row r="137" spans="1:9" s="1" customFormat="1" ht="18" customHeight="1" x14ac:dyDescent="0.25">
      <c r="A137" s="10" t="s">
        <v>266</v>
      </c>
      <c r="B137" s="51">
        <v>37105</v>
      </c>
      <c r="C137" s="52" t="s">
        <v>267</v>
      </c>
      <c r="D137" s="53"/>
      <c r="E137" s="53"/>
      <c r="G137"/>
      <c r="H137"/>
      <c r="I137"/>
    </row>
    <row r="138" spans="1:9" s="1" customFormat="1" ht="18" customHeight="1" x14ac:dyDescent="0.25">
      <c r="A138" s="10" t="s">
        <v>268</v>
      </c>
      <c r="B138" s="51">
        <v>37106</v>
      </c>
      <c r="C138" s="52" t="s">
        <v>269</v>
      </c>
      <c r="D138" s="53">
        <v>79119</v>
      </c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270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271</v>
      </c>
      <c r="B140" s="10">
        <v>37203</v>
      </c>
      <c r="C140" s="8" t="s">
        <v>272</v>
      </c>
      <c r="D140" s="53">
        <f>5745+157</f>
        <v>5902</v>
      </c>
      <c r="E140" s="53"/>
      <c r="G140"/>
      <c r="H140"/>
      <c r="I140"/>
    </row>
    <row r="141" spans="1:9" s="1" customFormat="1" ht="18" customHeight="1" x14ac:dyDescent="0.25">
      <c r="A141" s="10" t="s">
        <v>273</v>
      </c>
      <c r="B141" s="10">
        <v>37205</v>
      </c>
      <c r="C141" s="8" t="s">
        <v>274</v>
      </c>
      <c r="D141" s="53"/>
      <c r="E141" s="53"/>
      <c r="G141"/>
      <c r="H141"/>
      <c r="I141"/>
    </row>
    <row r="142" spans="1:9" s="1" customFormat="1" ht="18" customHeight="1" x14ac:dyDescent="0.25">
      <c r="A142" s="10" t="s">
        <v>275</v>
      </c>
      <c r="B142" s="10">
        <v>37206</v>
      </c>
      <c r="C142" s="8" t="s">
        <v>276</v>
      </c>
      <c r="D142" s="53">
        <f>219829.28+265</f>
        <v>220094.28</v>
      </c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277</v>
      </c>
      <c r="D143" s="53">
        <v>197821.43</v>
      </c>
      <c r="E143" s="53"/>
      <c r="G143"/>
      <c r="H143"/>
      <c r="I143"/>
    </row>
    <row r="144" spans="1:9" s="1" customFormat="1" ht="18" customHeight="1" x14ac:dyDescent="0.25">
      <c r="A144" s="10" t="s">
        <v>278</v>
      </c>
      <c r="B144" s="51">
        <v>39101</v>
      </c>
      <c r="C144" s="52" t="s">
        <v>279</v>
      </c>
      <c r="D144" s="53">
        <f>206560.68+318.02</f>
        <v>206878.69999999998</v>
      </c>
      <c r="E144" s="53"/>
      <c r="G144"/>
      <c r="H144"/>
      <c r="I144"/>
    </row>
    <row r="145" spans="1:9" s="1" customFormat="1" ht="18" customHeight="1" x14ac:dyDescent="0.25">
      <c r="A145" s="10"/>
      <c r="B145" s="51">
        <v>39102</v>
      </c>
      <c r="C145" s="52" t="s">
        <v>398</v>
      </c>
      <c r="D145" s="53">
        <v>5168.3999999999996</v>
      </c>
      <c r="E145" s="53"/>
      <c r="G145"/>
      <c r="H145"/>
      <c r="I145"/>
    </row>
    <row r="146" spans="1:9" s="1" customFormat="1" ht="18" customHeight="1" x14ac:dyDescent="0.25">
      <c r="A146" s="10" t="s">
        <v>280</v>
      </c>
      <c r="B146" s="51">
        <v>39201</v>
      </c>
      <c r="C146" s="52" t="s">
        <v>281</v>
      </c>
      <c r="D146" s="53">
        <f>8213153.6+4982.4</f>
        <v>8218136</v>
      </c>
      <c r="E146" s="53"/>
      <c r="G146"/>
      <c r="H146"/>
      <c r="I146"/>
    </row>
    <row r="147" spans="1:9" s="1" customFormat="1" ht="18" customHeight="1" x14ac:dyDescent="0.25">
      <c r="A147" s="10"/>
      <c r="B147" s="51">
        <v>39301</v>
      </c>
      <c r="C147" s="52" t="s">
        <v>282</v>
      </c>
      <c r="D147" s="53">
        <v>45801.5</v>
      </c>
      <c r="E147" s="53"/>
      <c r="G147"/>
      <c r="H147"/>
      <c r="I147"/>
    </row>
    <row r="148" spans="1:9" s="1" customFormat="1" ht="18" customHeight="1" x14ac:dyDescent="0.25">
      <c r="A148" s="10" t="s">
        <v>283</v>
      </c>
      <c r="B148" s="51">
        <v>39501</v>
      </c>
      <c r="C148" s="52" t="s">
        <v>284</v>
      </c>
      <c r="D148" s="53">
        <f>3681.6+1425</f>
        <v>5106.6000000000004</v>
      </c>
      <c r="E148" s="53"/>
      <c r="G148"/>
      <c r="H148"/>
      <c r="I148"/>
    </row>
    <row r="149" spans="1:9" s="1" customFormat="1" ht="18" customHeight="1" x14ac:dyDescent="0.25">
      <c r="A149" s="10" t="s">
        <v>285</v>
      </c>
      <c r="B149" s="10">
        <v>39601</v>
      </c>
      <c r="C149" s="8" t="s">
        <v>286</v>
      </c>
      <c r="D149" s="53">
        <f>1377900.66+3004.26</f>
        <v>1380904.92</v>
      </c>
      <c r="E149" s="53"/>
      <c r="G149"/>
      <c r="H149"/>
      <c r="I149"/>
    </row>
    <row r="150" spans="1:9" s="1" customFormat="1" ht="18" customHeight="1" x14ac:dyDescent="0.25">
      <c r="A150" s="10" t="s">
        <v>287</v>
      </c>
      <c r="B150" s="10">
        <v>39801</v>
      </c>
      <c r="C150" s="8" t="s">
        <v>288</v>
      </c>
      <c r="D150" s="53">
        <f>182230.94+370</f>
        <v>182600.94</v>
      </c>
      <c r="E150" s="53"/>
      <c r="G150"/>
      <c r="H150"/>
      <c r="I150"/>
    </row>
    <row r="151" spans="1:9" s="1" customFormat="1" ht="18" customHeight="1" x14ac:dyDescent="0.25">
      <c r="A151" s="10"/>
      <c r="B151" s="10">
        <v>39802</v>
      </c>
      <c r="C151" s="8" t="s">
        <v>353</v>
      </c>
      <c r="D151" s="53">
        <v>23614.44</v>
      </c>
      <c r="E151" s="53"/>
      <c r="G151"/>
      <c r="H151"/>
      <c r="I151"/>
    </row>
    <row r="152" spans="1:9" s="1" customFormat="1" ht="18" customHeight="1" x14ac:dyDescent="0.25">
      <c r="A152" s="10" t="s">
        <v>289</v>
      </c>
      <c r="B152" s="10">
        <v>39901</v>
      </c>
      <c r="C152" s="8" t="s">
        <v>290</v>
      </c>
      <c r="D152" s="53">
        <f>3478.64+2824.1</f>
        <v>6302.74</v>
      </c>
      <c r="E152" s="53"/>
      <c r="G152"/>
      <c r="H152"/>
      <c r="I152"/>
    </row>
    <row r="153" spans="1:9" s="1" customFormat="1" ht="18" customHeight="1" x14ac:dyDescent="0.25">
      <c r="A153" s="10" t="s">
        <v>289</v>
      </c>
      <c r="B153" s="10">
        <v>39902</v>
      </c>
      <c r="C153" s="8" t="s">
        <v>291</v>
      </c>
      <c r="D153" s="53"/>
      <c r="E153" s="53"/>
      <c r="G153"/>
      <c r="H153"/>
      <c r="I153"/>
    </row>
    <row r="154" spans="1:9" s="1" customFormat="1" ht="18" customHeight="1" x14ac:dyDescent="0.25">
      <c r="A154" s="10"/>
      <c r="B154" s="10">
        <v>39904</v>
      </c>
      <c r="C154" s="8" t="s">
        <v>292</v>
      </c>
      <c r="D154" s="53">
        <v>74250.61</v>
      </c>
      <c r="E154" s="53"/>
      <c r="G154"/>
      <c r="H154"/>
      <c r="I154"/>
    </row>
    <row r="155" spans="1:9" s="1" customFormat="1" ht="18" customHeight="1" x14ac:dyDescent="0.25">
      <c r="A155" s="10"/>
      <c r="B155" s="10">
        <v>39905</v>
      </c>
      <c r="C155" s="8" t="s">
        <v>293</v>
      </c>
      <c r="D155" s="53">
        <v>15488.77</v>
      </c>
      <c r="E155" s="53"/>
      <c r="G155"/>
      <c r="H155"/>
      <c r="I155"/>
    </row>
    <row r="156" spans="1:9" s="1" customFormat="1" ht="18" customHeight="1" x14ac:dyDescent="0.25">
      <c r="A156" s="51"/>
      <c r="B156" s="69">
        <v>4</v>
      </c>
      <c r="C156" s="63" t="s">
        <v>294</v>
      </c>
      <c r="D156" s="57">
        <f>SUM(D157:D177)</f>
        <v>0</v>
      </c>
      <c r="E156" s="57"/>
      <c r="G156"/>
      <c r="H156"/>
      <c r="I156"/>
    </row>
    <row r="157" spans="1:9" s="1" customFormat="1" ht="18" customHeight="1" x14ac:dyDescent="0.25">
      <c r="A157" s="10" t="s">
        <v>295</v>
      </c>
      <c r="B157" s="10">
        <v>41103</v>
      </c>
      <c r="C157" s="8" t="s">
        <v>296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297</v>
      </c>
      <c r="B158" s="10">
        <v>41201</v>
      </c>
      <c r="C158" s="8" t="s">
        <v>298</v>
      </c>
      <c r="D158" s="53"/>
      <c r="E158" s="53"/>
      <c r="G158"/>
      <c r="H158"/>
      <c r="I158"/>
    </row>
    <row r="159" spans="1:9" s="1" customFormat="1" ht="18" customHeight="1" x14ac:dyDescent="0.25">
      <c r="A159" s="10" t="s">
        <v>299</v>
      </c>
      <c r="B159" s="10">
        <v>41202</v>
      </c>
      <c r="C159" s="8" t="s">
        <v>300</v>
      </c>
      <c r="D159" s="53"/>
      <c r="E159" s="53"/>
      <c r="G159"/>
      <c r="H159"/>
      <c r="I159"/>
    </row>
    <row r="160" spans="1:9" s="1" customFormat="1" ht="18" customHeight="1" x14ac:dyDescent="0.25">
      <c r="A160" s="10"/>
      <c r="B160" s="10">
        <v>41401</v>
      </c>
      <c r="C160" s="8" t="s">
        <v>301</v>
      </c>
      <c r="D160" s="9"/>
      <c r="E160" s="9"/>
      <c r="G160"/>
      <c r="H160"/>
      <c r="I160"/>
    </row>
    <row r="161" spans="1:9" s="1" customFormat="1" ht="18" customHeight="1" x14ac:dyDescent="0.25">
      <c r="A161" s="10" t="s">
        <v>302</v>
      </c>
      <c r="B161" s="10">
        <v>41402</v>
      </c>
      <c r="C161" s="8" t="s">
        <v>303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41501</v>
      </c>
      <c r="C162" s="8" t="s">
        <v>304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41601</v>
      </c>
      <c r="C163" s="8" t="s">
        <v>305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41605</v>
      </c>
      <c r="C164" s="8" t="s">
        <v>306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421105</v>
      </c>
      <c r="C165" s="8" t="s">
        <v>307</v>
      </c>
      <c r="D165" s="9"/>
      <c r="E165" s="9"/>
      <c r="G165"/>
      <c r="H165"/>
      <c r="I165"/>
    </row>
    <row r="166" spans="1:9" s="1" customFormat="1" ht="18" customHeight="1" x14ac:dyDescent="0.25">
      <c r="A166" s="10"/>
      <c r="B166" s="10">
        <v>421903</v>
      </c>
      <c r="C166" s="8" t="s">
        <v>308</v>
      </c>
      <c r="D166" s="9"/>
      <c r="E166" s="9"/>
      <c r="G166"/>
      <c r="H166"/>
      <c r="I166"/>
    </row>
    <row r="167" spans="1:9" s="1" customFormat="1" ht="18" customHeight="1" x14ac:dyDescent="0.25">
      <c r="A167" s="10" t="s">
        <v>309</v>
      </c>
      <c r="B167" s="10">
        <v>44102</v>
      </c>
      <c r="C167" s="8" t="s">
        <v>310</v>
      </c>
      <c r="D167" s="9"/>
      <c r="E167" s="9"/>
      <c r="G167"/>
      <c r="H167"/>
      <c r="I167"/>
    </row>
    <row r="168" spans="1:9" s="1" customFormat="1" ht="18" customHeight="1" x14ac:dyDescent="0.25">
      <c r="A168" s="51"/>
      <c r="B168" s="51">
        <v>62501</v>
      </c>
      <c r="C168" s="52" t="s">
        <v>311</v>
      </c>
      <c r="D168" s="73"/>
      <c r="E168" s="68"/>
      <c r="G168"/>
      <c r="H168"/>
      <c r="I168"/>
    </row>
    <row r="169" spans="1:9" s="1" customFormat="1" ht="18" customHeight="1" x14ac:dyDescent="0.25">
      <c r="A169" s="51"/>
      <c r="B169" s="51" t="s">
        <v>358</v>
      </c>
      <c r="C169" s="52"/>
      <c r="D169" s="73"/>
      <c r="E169" s="68"/>
      <c r="G169"/>
      <c r="H169"/>
      <c r="I169"/>
    </row>
    <row r="170" spans="1:9" s="1" customFormat="1" ht="18" customHeight="1" x14ac:dyDescent="0.25">
      <c r="A170" s="10"/>
      <c r="B170" s="10"/>
      <c r="C170" s="8" t="s">
        <v>77</v>
      </c>
      <c r="D170" s="15"/>
      <c r="E170" s="68"/>
      <c r="G170"/>
      <c r="H170"/>
      <c r="I170"/>
    </row>
    <row r="171" spans="1:9" s="1" customFormat="1" ht="18" customHeight="1" x14ac:dyDescent="0.25">
      <c r="A171" s="10"/>
      <c r="B171" s="10" t="s">
        <v>314</v>
      </c>
      <c r="C171" s="8"/>
      <c r="D171" s="10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77</v>
      </c>
      <c r="D172" s="17"/>
      <c r="E172" s="68"/>
      <c r="G172"/>
      <c r="H172"/>
      <c r="I172"/>
    </row>
    <row r="173" spans="1:9" s="1" customFormat="1" ht="18" customHeight="1" x14ac:dyDescent="0.25">
      <c r="A173" s="10"/>
      <c r="B173" s="10"/>
      <c r="C173" s="8" t="s">
        <v>315</v>
      </c>
      <c r="D173" s="10"/>
      <c r="E173" s="17">
        <f>+D172</f>
        <v>0</v>
      </c>
      <c r="G173"/>
      <c r="H173"/>
      <c r="I173"/>
    </row>
    <row r="174" spans="1:9" s="1" customFormat="1" ht="18" customHeight="1" x14ac:dyDescent="0.25">
      <c r="A174" s="10"/>
      <c r="B174" s="10" t="s">
        <v>316</v>
      </c>
      <c r="C174" s="10"/>
      <c r="D174" s="10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42</v>
      </c>
      <c r="D175" s="17"/>
      <c r="E175" s="10"/>
      <c r="G175"/>
      <c r="H175"/>
      <c r="I175"/>
    </row>
    <row r="176" spans="1:9" s="1" customFormat="1" ht="18" customHeight="1" x14ac:dyDescent="0.25">
      <c r="A176" s="10"/>
      <c r="B176" s="10"/>
      <c r="C176" s="8" t="s">
        <v>315</v>
      </c>
      <c r="D176" s="10"/>
      <c r="E176" s="17">
        <f>+E173</f>
        <v>0</v>
      </c>
      <c r="G176"/>
      <c r="H176"/>
      <c r="I176"/>
    </row>
    <row r="177" spans="1:9" s="1" customFormat="1" ht="18" customHeight="1" x14ac:dyDescent="0.25">
      <c r="A177" s="10"/>
      <c r="B177" s="10" t="s">
        <v>317</v>
      </c>
      <c r="C177" s="10"/>
      <c r="D177" s="10"/>
      <c r="E177" s="10"/>
      <c r="G177"/>
      <c r="H177"/>
      <c r="I177"/>
    </row>
    <row r="178" spans="1:9" s="1" customFormat="1" x14ac:dyDescent="0.25">
      <c r="A178" s="51"/>
      <c r="B178" s="97" t="s">
        <v>318</v>
      </c>
      <c r="C178" s="98"/>
      <c r="D178" s="62">
        <f>+E15-E16</f>
        <v>580855544.17999995</v>
      </c>
      <c r="E178" s="62">
        <f>+E15-E16</f>
        <v>580855544.17999995</v>
      </c>
      <c r="G178"/>
      <c r="H178"/>
      <c r="I178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3" spans="1:9" s="1" customFormat="1" x14ac:dyDescent="0.25">
      <c r="A183"/>
      <c r="B183"/>
      <c r="C183"/>
      <c r="D183"/>
      <c r="E183" s="37"/>
      <c r="G183"/>
      <c r="H183"/>
      <c r="I183"/>
    </row>
    <row r="186" spans="1:9" s="1" customFormat="1" x14ac:dyDescent="0.25">
      <c r="A186" s="23" t="s">
        <v>319</v>
      </c>
      <c r="B186" s="23">
        <v>6</v>
      </c>
      <c r="C186" s="5" t="s">
        <v>320</v>
      </c>
      <c r="D186" s="12">
        <f>SUM(D187:D209)</f>
        <v>10646165.359999999</v>
      </c>
      <c r="E186" s="19"/>
      <c r="G186"/>
      <c r="H186"/>
      <c r="I186"/>
    </row>
    <row r="187" spans="1:9" s="1" customFormat="1" x14ac:dyDescent="0.25">
      <c r="A187" s="26">
        <v>1206010007</v>
      </c>
      <c r="B187" s="10">
        <v>61101</v>
      </c>
      <c r="C187" s="8" t="s">
        <v>321</v>
      </c>
      <c r="D187" s="53">
        <v>4658050</v>
      </c>
      <c r="E187" s="20"/>
      <c r="G187"/>
      <c r="H187"/>
      <c r="I187"/>
    </row>
    <row r="188" spans="1:9" s="1" customFormat="1" x14ac:dyDescent="0.25">
      <c r="A188" s="26">
        <v>1206010004</v>
      </c>
      <c r="B188" s="10">
        <v>61301</v>
      </c>
      <c r="C188" s="8" t="s">
        <v>322</v>
      </c>
      <c r="D188" s="53"/>
      <c r="E188" s="20"/>
      <c r="G188"/>
      <c r="H188"/>
      <c r="I188"/>
    </row>
    <row r="189" spans="1:9" s="1" customFormat="1" x14ac:dyDescent="0.25">
      <c r="A189" s="26">
        <v>1206010007</v>
      </c>
      <c r="B189" s="10">
        <v>61401</v>
      </c>
      <c r="C189" s="8" t="s">
        <v>323</v>
      </c>
      <c r="D189" s="53">
        <v>8968</v>
      </c>
      <c r="E189" s="20"/>
      <c r="G189"/>
      <c r="H189"/>
      <c r="I189"/>
    </row>
    <row r="190" spans="1:9" s="1" customFormat="1" x14ac:dyDescent="0.25">
      <c r="A190" s="26">
        <v>1206010001</v>
      </c>
      <c r="B190" s="10">
        <v>61901</v>
      </c>
      <c r="C190" s="8" t="s">
        <v>324</v>
      </c>
      <c r="D190" s="53">
        <v>21931.01</v>
      </c>
      <c r="E190" s="20"/>
      <c r="G190"/>
      <c r="H190"/>
      <c r="I190"/>
    </row>
    <row r="191" spans="1:9" s="1" customFormat="1" x14ac:dyDescent="0.25">
      <c r="A191" s="26">
        <v>1206010002</v>
      </c>
      <c r="B191" s="10">
        <v>62101</v>
      </c>
      <c r="C191" s="8" t="s">
        <v>325</v>
      </c>
      <c r="D191" s="53"/>
      <c r="E191" s="20"/>
      <c r="G191"/>
      <c r="H191"/>
      <c r="I191"/>
    </row>
    <row r="192" spans="1:9" s="1" customFormat="1" x14ac:dyDescent="0.25">
      <c r="A192" s="26">
        <v>1206010002</v>
      </c>
      <c r="B192" s="10">
        <v>62301</v>
      </c>
      <c r="C192" s="8" t="s">
        <v>326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63201</v>
      </c>
      <c r="C193" s="8" t="s">
        <v>327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63401</v>
      </c>
      <c r="C194" s="8" t="s">
        <v>328</v>
      </c>
      <c r="D194" s="53">
        <v>999909.93</v>
      </c>
      <c r="E194" s="20"/>
      <c r="G194"/>
      <c r="H194"/>
      <c r="I194"/>
    </row>
    <row r="195" spans="1:9" s="1" customFormat="1" x14ac:dyDescent="0.25">
      <c r="A195" s="26">
        <v>1206010003</v>
      </c>
      <c r="B195" s="10">
        <v>64101</v>
      </c>
      <c r="C195" s="8" t="s">
        <v>329</v>
      </c>
      <c r="D195" s="53">
        <v>4816000</v>
      </c>
      <c r="E195" s="20"/>
      <c r="G195"/>
      <c r="H195"/>
      <c r="I195"/>
    </row>
    <row r="196" spans="1:9" s="1" customFormat="1" x14ac:dyDescent="0.25">
      <c r="A196" s="26"/>
      <c r="B196" s="10">
        <v>64601</v>
      </c>
      <c r="C196" s="8" t="s">
        <v>330</v>
      </c>
      <c r="D196" s="53"/>
      <c r="E196" s="20"/>
      <c r="G196"/>
      <c r="H196"/>
      <c r="I196"/>
    </row>
    <row r="197" spans="1:9" s="1" customFormat="1" x14ac:dyDescent="0.25">
      <c r="A197" s="26"/>
      <c r="B197" s="51">
        <v>64701</v>
      </c>
      <c r="C197" s="52" t="s">
        <v>331</v>
      </c>
      <c r="D197" s="53"/>
      <c r="E197" s="20"/>
      <c r="G197"/>
      <c r="H197"/>
      <c r="I197"/>
    </row>
    <row r="198" spans="1:9" s="1" customFormat="1" x14ac:dyDescent="0.25">
      <c r="A198" s="26">
        <v>1206010003</v>
      </c>
      <c r="B198" s="51">
        <v>64801</v>
      </c>
      <c r="C198" s="52" t="s">
        <v>332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65201</v>
      </c>
      <c r="C199" s="8" t="s">
        <v>333</v>
      </c>
      <c r="D199" s="53">
        <v>42272.32</v>
      </c>
      <c r="E199" s="20"/>
      <c r="G199"/>
      <c r="H199"/>
      <c r="I199"/>
    </row>
    <row r="200" spans="1:9" s="1" customFormat="1" x14ac:dyDescent="0.25">
      <c r="A200" s="26">
        <v>1206010001</v>
      </c>
      <c r="B200" s="10">
        <v>65401</v>
      </c>
      <c r="C200" s="8" t="s">
        <v>334</v>
      </c>
      <c r="D200" s="53"/>
      <c r="E200" s="20"/>
      <c r="G200"/>
      <c r="H200"/>
      <c r="I200"/>
    </row>
    <row r="201" spans="1:9" s="1" customFormat="1" x14ac:dyDescent="0.25">
      <c r="A201" s="26">
        <v>1206010006</v>
      </c>
      <c r="B201" s="10">
        <v>65501</v>
      </c>
      <c r="C201" s="8" t="s">
        <v>335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65601</v>
      </c>
      <c r="C202" s="8" t="s">
        <v>336</v>
      </c>
      <c r="D202" s="53"/>
      <c r="E202" s="20"/>
      <c r="G202"/>
      <c r="H202"/>
      <c r="I202"/>
    </row>
    <row r="203" spans="1:9" s="1" customFormat="1" x14ac:dyDescent="0.25">
      <c r="A203" s="26">
        <v>1206010008</v>
      </c>
      <c r="B203" s="10">
        <v>65701</v>
      </c>
      <c r="C203" s="8" t="s">
        <v>337</v>
      </c>
      <c r="D203" s="53">
        <v>99034.1</v>
      </c>
      <c r="E203" s="20"/>
      <c r="G203"/>
      <c r="H203"/>
      <c r="I203"/>
    </row>
    <row r="204" spans="1:9" s="1" customFormat="1" x14ac:dyDescent="0.25">
      <c r="A204" s="26">
        <v>1206010001</v>
      </c>
      <c r="B204" s="10">
        <v>65801</v>
      </c>
      <c r="C204" s="8" t="s">
        <v>338</v>
      </c>
      <c r="D204" s="53"/>
      <c r="E204" s="20"/>
      <c r="G204"/>
      <c r="H204"/>
      <c r="I204"/>
    </row>
    <row r="205" spans="1:9" s="1" customFormat="1" x14ac:dyDescent="0.25">
      <c r="A205" s="26">
        <v>1206980001</v>
      </c>
      <c r="B205" s="10">
        <v>66201</v>
      </c>
      <c r="C205" s="8" t="s">
        <v>339</v>
      </c>
      <c r="D205" s="53"/>
      <c r="E205" s="20"/>
      <c r="G205"/>
      <c r="H205"/>
      <c r="I205"/>
    </row>
    <row r="206" spans="1:9" s="1" customFormat="1" x14ac:dyDescent="0.25">
      <c r="A206" s="26">
        <v>1208010003</v>
      </c>
      <c r="B206" s="10">
        <v>68301</v>
      </c>
      <c r="C206" s="8" t="s">
        <v>340</v>
      </c>
      <c r="D206" s="53"/>
      <c r="E206" s="20"/>
      <c r="G206"/>
      <c r="H206"/>
      <c r="I206"/>
    </row>
    <row r="207" spans="1:9" s="1" customFormat="1" x14ac:dyDescent="0.25">
      <c r="A207" s="26">
        <v>1206020002</v>
      </c>
      <c r="B207" s="10">
        <v>69201</v>
      </c>
      <c r="C207" s="8" t="s">
        <v>341</v>
      </c>
      <c r="D207" s="53"/>
      <c r="E207" s="20"/>
      <c r="G207"/>
      <c r="H207"/>
      <c r="I207"/>
    </row>
    <row r="208" spans="1:9" s="1" customFormat="1" x14ac:dyDescent="0.25">
      <c r="A208" s="26">
        <v>1206980004</v>
      </c>
      <c r="B208" s="10">
        <v>69502</v>
      </c>
      <c r="C208" s="8" t="s">
        <v>342</v>
      </c>
      <c r="D208" s="53"/>
      <c r="E208" s="20"/>
      <c r="G208"/>
      <c r="H208"/>
      <c r="I208"/>
    </row>
    <row r="209" spans="1:9" s="1" customFormat="1" ht="30" x14ac:dyDescent="0.25">
      <c r="A209" s="26"/>
      <c r="B209" s="10">
        <v>69601</v>
      </c>
      <c r="C209" s="8" t="s">
        <v>359</v>
      </c>
      <c r="D209" s="53"/>
      <c r="E209" s="20"/>
      <c r="G209"/>
      <c r="H209"/>
      <c r="I209"/>
    </row>
    <row r="210" spans="1:9" s="1" customFormat="1" x14ac:dyDescent="0.25">
      <c r="A210" s="27"/>
      <c r="B210" s="69">
        <v>7</v>
      </c>
      <c r="C210" s="63" t="s">
        <v>343</v>
      </c>
      <c r="D210" s="57">
        <f>SUM(D211:D212)</f>
        <v>0</v>
      </c>
      <c r="E210" s="25"/>
      <c r="G210"/>
      <c r="H210"/>
      <c r="I210"/>
    </row>
    <row r="211" spans="1:9" s="1" customFormat="1" x14ac:dyDescent="0.25">
      <c r="A211" s="27" t="s">
        <v>344</v>
      </c>
      <c r="B211" s="10">
        <v>71201</v>
      </c>
      <c r="C211" s="8" t="s">
        <v>345</v>
      </c>
      <c r="D211" s="24"/>
      <c r="E211" s="25"/>
      <c r="G211"/>
      <c r="H211"/>
      <c r="I211"/>
    </row>
    <row r="212" spans="1:9" s="1" customFormat="1" x14ac:dyDescent="0.25">
      <c r="A212" s="27" t="s">
        <v>346</v>
      </c>
      <c r="B212" s="10">
        <v>71501</v>
      </c>
      <c r="C212" s="8" t="s">
        <v>347</v>
      </c>
      <c r="D212" s="24"/>
      <c r="E212" s="25"/>
      <c r="G212"/>
      <c r="H212"/>
      <c r="I212"/>
    </row>
    <row r="213" spans="1:9" s="1" customFormat="1" x14ac:dyDescent="0.25">
      <c r="A213" s="72"/>
      <c r="B213" s="51"/>
      <c r="C213" s="52"/>
      <c r="D213" s="71">
        <f>+D186+D210</f>
        <v>10646165.359999999</v>
      </c>
      <c r="E213" s="19"/>
      <c r="G213"/>
      <c r="H213"/>
      <c r="I213"/>
    </row>
    <row r="214" spans="1:9" s="1" customFormat="1" x14ac:dyDescent="0.25">
      <c r="A214" s="86"/>
      <c r="B214" s="61"/>
      <c r="C214" s="87"/>
      <c r="D214" s="88"/>
      <c r="E214" s="19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 t="s">
        <v>376</v>
      </c>
      <c r="B216"/>
      <c r="C216" s="2" t="s">
        <v>399</v>
      </c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/>
      <c r="E218" s="21"/>
      <c r="G218"/>
      <c r="H218"/>
      <c r="I218"/>
    </row>
    <row r="219" spans="1:9" s="1" customFormat="1" ht="30" customHeight="1" x14ac:dyDescent="0.25">
      <c r="A219" s="108" t="s">
        <v>377</v>
      </c>
      <c r="B219" s="108"/>
      <c r="C219" s="108" t="s">
        <v>400</v>
      </c>
      <c r="D219" s="108"/>
      <c r="E219" s="21"/>
      <c r="G219"/>
      <c r="H219"/>
      <c r="I219"/>
    </row>
    <row r="220" spans="1:9" s="1" customFormat="1" ht="13.5" customHeight="1" x14ac:dyDescent="0.25">
      <c r="A220" s="109" t="s">
        <v>349</v>
      </c>
      <c r="B220" s="109"/>
      <c r="C220" s="109" t="s">
        <v>401</v>
      </c>
      <c r="D220" s="109"/>
      <c r="E220" s="21"/>
      <c r="G220"/>
      <c r="H220"/>
      <c r="I220"/>
    </row>
    <row r="221" spans="1:9" s="1" customFormat="1" x14ac:dyDescent="0.25">
      <c r="A221"/>
      <c r="B221"/>
      <c r="C221"/>
      <c r="D221"/>
      <c r="E221" s="22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  <row r="223" spans="1:9" s="1" customFormat="1" x14ac:dyDescent="0.25">
      <c r="A223"/>
      <c r="B223"/>
      <c r="C223"/>
      <c r="D223"/>
      <c r="G223"/>
      <c r="H223"/>
      <c r="I223"/>
    </row>
  </sheetData>
  <mergeCells count="12">
    <mergeCell ref="A6:E6"/>
    <mergeCell ref="A1:E1"/>
    <mergeCell ref="A2:E2"/>
    <mergeCell ref="A3:E3"/>
    <mergeCell ref="A4:E4"/>
    <mergeCell ref="A5:E5"/>
    <mergeCell ref="A219:B219"/>
    <mergeCell ref="A220:B220"/>
    <mergeCell ref="C219:D219"/>
    <mergeCell ref="C220:D220"/>
    <mergeCell ref="B8:C8"/>
    <mergeCell ref="B178:C178"/>
  </mergeCells>
  <pageMargins left="0.7" right="0.7" top="0.75" bottom="0.75" header="0.3" footer="0.3"/>
  <pageSetup scale="6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0"/>
  <sheetViews>
    <sheetView topLeftCell="A28" zoomScale="142" zoomScaleNormal="142" workbookViewId="0">
      <selection activeCell="AB47" sqref="AB4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15.75" x14ac:dyDescent="0.25">
      <c r="A3" s="50"/>
      <c r="B3" s="50"/>
      <c r="C3" s="50"/>
      <c r="D3" s="50"/>
      <c r="E3" s="50"/>
      <c r="F3" s="50"/>
      <c r="G3" s="50"/>
    </row>
    <row r="5" spans="1:26" x14ac:dyDescent="0.25">
      <c r="A5" t="s">
        <v>4</v>
      </c>
    </row>
    <row r="6" spans="1:26" x14ac:dyDescent="0.25">
      <c r="A6" t="s">
        <v>402</v>
      </c>
    </row>
    <row r="7" spans="1:26" x14ac:dyDescent="0.25">
      <c r="A7" t="s">
        <v>6</v>
      </c>
    </row>
    <row r="8" spans="1:26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40" t="s">
        <v>8</v>
      </c>
    </row>
    <row r="9" spans="1:26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6" x14ac:dyDescent="0.25">
      <c r="A10" t="s">
        <v>22</v>
      </c>
    </row>
    <row r="11" spans="1:26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>
        <v>250459476.69</v>
      </c>
    </row>
    <row r="12" spans="1:26" x14ac:dyDescent="0.25">
      <c r="A12" t="s">
        <v>24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735656618.03999996</v>
      </c>
    </row>
    <row r="13" spans="1:26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31192468.52</v>
      </c>
    </row>
    <row r="14" spans="1:26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f>+Y14</f>
        <v>400686</v>
      </c>
    </row>
    <row r="15" spans="1:26" x14ac:dyDescent="0.25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42">
        <f>SUM(Z11:Z14)</f>
        <v>1017709249.25</v>
      </c>
    </row>
    <row r="17" spans="1:26" x14ac:dyDescent="0.25">
      <c r="A17" t="s">
        <v>28</v>
      </c>
    </row>
    <row r="18" spans="1:26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9">
        <f>192506714.8+15700000+51400000+48750000+171585000</f>
        <v>479941714.80000001</v>
      </c>
    </row>
    <row r="19" spans="1:26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-136943828.74000001</v>
      </c>
    </row>
    <row r="21" spans="1:26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9">
        <v>-29549062.699999999</v>
      </c>
    </row>
    <row r="22" spans="1:26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378130371.14000005</v>
      </c>
    </row>
    <row r="23" spans="1:26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 t="shared" si="7"/>
        <v>1395839620.3900001</v>
      </c>
    </row>
    <row r="24" spans="1:26" ht="15.75" thickTop="1" x14ac:dyDescent="0.25"/>
    <row r="25" spans="1:26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22</v>
      </c>
    </row>
    <row r="27" spans="1:26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6" x14ac:dyDescent="0.25">
      <c r="A28" t="s">
        <v>37</v>
      </c>
    </row>
    <row r="29" spans="1:26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9">
        <v>69335083.739999995</v>
      </c>
    </row>
    <row r="30" spans="1:26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69335083.739999995</v>
      </c>
    </row>
    <row r="32" spans="1:26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69335083.739999995</v>
      </c>
    </row>
    <row r="35" spans="1:26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26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26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39">
        <v>-2545878.56</v>
      </c>
    </row>
    <row r="40" spans="1:26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1326504536.6499999</v>
      </c>
    </row>
    <row r="41" spans="1:26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Z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 t="shared" si="14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>
        <f>+Z41-Z23</f>
        <v>0</v>
      </c>
    </row>
    <row r="44" spans="1:26" x14ac:dyDescent="0.25">
      <c r="A44" s="34" t="s">
        <v>50</v>
      </c>
      <c r="G44" s="1">
        <f>+G41-G23</f>
        <v>0</v>
      </c>
    </row>
    <row r="45" spans="1:26" x14ac:dyDescent="0.25">
      <c r="A45" t="s">
        <v>51</v>
      </c>
    </row>
    <row r="48" spans="1:26" x14ac:dyDescent="0.25">
      <c r="A48" t="s">
        <v>52</v>
      </c>
    </row>
    <row r="49" spans="1:1" x14ac:dyDescent="0.25">
      <c r="A49" s="34" t="s">
        <v>53</v>
      </c>
    </row>
    <row r="50" spans="1:1" x14ac:dyDescent="0.25">
      <c r="A50" t="s">
        <v>54</v>
      </c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2021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403</v>
      </c>
      <c r="E8" s="3"/>
    </row>
    <row r="9" spans="1:7" x14ac:dyDescent="0.25">
      <c r="A9" s="23" t="s">
        <v>61</v>
      </c>
      <c r="B9" s="4" t="s">
        <v>62</v>
      </c>
      <c r="C9" s="5" t="s">
        <v>63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64</v>
      </c>
      <c r="B10" s="7" t="s">
        <v>65</v>
      </c>
      <c r="C10" s="8" t="s">
        <v>66</v>
      </c>
      <c r="D10" s="9">
        <v>1118972.01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9">
        <v>310186711.30000001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4645039.67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9">
        <v>941384.79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" t="s">
        <v>77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78</v>
      </c>
      <c r="D16" s="32">
        <f>+D17+D40+D93+D146+D159+D176</f>
        <v>51362915.079999998</v>
      </c>
      <c r="E16" s="32">
        <f>+D16</f>
        <v>51362915.079999998</v>
      </c>
    </row>
    <row r="17" spans="1:9" x14ac:dyDescent="0.25">
      <c r="A17" s="11"/>
      <c r="B17" s="11">
        <v>1</v>
      </c>
      <c r="C17" s="5" t="s">
        <v>79</v>
      </c>
      <c r="D17" s="12">
        <f>SUM(D18:D39)</f>
        <v>25445793.300000001</v>
      </c>
      <c r="E17" s="12" t="s">
        <v>3</v>
      </c>
    </row>
    <row r="18" spans="1:9" x14ac:dyDescent="0.25">
      <c r="A18" s="10" t="s">
        <v>80</v>
      </c>
      <c r="B18" s="10">
        <v>11101</v>
      </c>
      <c r="C18" s="8" t="s">
        <v>81</v>
      </c>
      <c r="D18" s="53">
        <v>15642849.199999999</v>
      </c>
      <c r="E18" s="9"/>
    </row>
    <row r="19" spans="1:9" x14ac:dyDescent="0.25">
      <c r="A19" s="10" t="s">
        <v>82</v>
      </c>
      <c r="B19" s="10">
        <v>11201</v>
      </c>
      <c r="C19" s="8" t="s">
        <v>83</v>
      </c>
      <c r="D19" s="53">
        <v>4241900</v>
      </c>
      <c r="E19" s="9"/>
    </row>
    <row r="20" spans="1:9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30" x14ac:dyDescent="0.25">
      <c r="A22" s="10" t="s">
        <v>88</v>
      </c>
      <c r="B22" s="10">
        <v>11205</v>
      </c>
      <c r="C22" s="8" t="s">
        <v>89</v>
      </c>
      <c r="D22" s="53">
        <v>25200</v>
      </c>
      <c r="E22" s="9"/>
    </row>
    <row r="23" spans="1:9" x14ac:dyDescent="0.25">
      <c r="A23" s="10" t="s">
        <v>93</v>
      </c>
      <c r="B23" s="10">
        <v>11401</v>
      </c>
      <c r="C23" s="8" t="s">
        <v>94</v>
      </c>
      <c r="D23" s="53"/>
      <c r="E23" s="9"/>
    </row>
    <row r="24" spans="1:9" x14ac:dyDescent="0.25">
      <c r="A24" s="10" t="s">
        <v>95</v>
      </c>
      <c r="B24" s="10">
        <v>11501</v>
      </c>
      <c r="C24" s="8" t="s">
        <v>96</v>
      </c>
      <c r="D24" s="53"/>
      <c r="E24" s="9"/>
    </row>
    <row r="25" spans="1:9" ht="30" x14ac:dyDescent="0.25">
      <c r="A25" s="10"/>
      <c r="B25" s="10">
        <v>11503</v>
      </c>
      <c r="C25" s="8" t="s">
        <v>97</v>
      </c>
      <c r="D25" s="53">
        <v>845500</v>
      </c>
      <c r="E25" s="9"/>
    </row>
    <row r="26" spans="1:9" x14ac:dyDescent="0.25">
      <c r="A26" s="10"/>
      <c r="B26" s="10">
        <v>11504</v>
      </c>
      <c r="C26" s="8" t="s">
        <v>98</v>
      </c>
      <c r="D26" s="53">
        <v>646299.51</v>
      </c>
      <c r="E26" s="9"/>
    </row>
    <row r="27" spans="1:9" x14ac:dyDescent="0.25">
      <c r="A27" s="10"/>
      <c r="B27" s="10">
        <v>12202</v>
      </c>
      <c r="C27" s="8" t="s">
        <v>99</v>
      </c>
      <c r="D27" s="53"/>
      <c r="E27" s="9"/>
      <c r="I27" s="37"/>
    </row>
    <row r="28" spans="1:9" ht="30" x14ac:dyDescent="0.25">
      <c r="A28" s="10"/>
      <c r="B28" s="10">
        <v>12203</v>
      </c>
      <c r="C28" s="8" t="s">
        <v>100</v>
      </c>
      <c r="D28" s="53"/>
      <c r="E28" s="9"/>
    </row>
    <row r="29" spans="1:9" x14ac:dyDescent="0.25">
      <c r="A29" s="10" t="s">
        <v>101</v>
      </c>
      <c r="B29" s="10">
        <v>12204</v>
      </c>
      <c r="C29" s="8" t="s">
        <v>102</v>
      </c>
      <c r="D29" s="53"/>
      <c r="E29" s="9"/>
    </row>
    <row r="30" spans="1:9" x14ac:dyDescent="0.25">
      <c r="A30" s="10" t="s">
        <v>103</v>
      </c>
      <c r="B30" s="10">
        <v>12205</v>
      </c>
      <c r="C30" s="8" t="s">
        <v>104</v>
      </c>
      <c r="D30" s="53">
        <v>1037000</v>
      </c>
      <c r="E30" s="9"/>
    </row>
    <row r="31" spans="1:9" x14ac:dyDescent="0.25">
      <c r="A31" s="10" t="s">
        <v>105</v>
      </c>
      <c r="B31" s="10">
        <v>12206</v>
      </c>
      <c r="C31" s="8" t="s">
        <v>106</v>
      </c>
      <c r="D31" s="53"/>
      <c r="E31" s="9"/>
    </row>
    <row r="32" spans="1:9" x14ac:dyDescent="0.25">
      <c r="A32" s="10" t="s">
        <v>107</v>
      </c>
      <c r="B32" s="10">
        <v>12209</v>
      </c>
      <c r="C32" s="8" t="s">
        <v>108</v>
      </c>
      <c r="D32" s="53"/>
      <c r="E32" s="9"/>
    </row>
    <row r="33" spans="1:5" x14ac:dyDescent="0.25">
      <c r="A33" s="10"/>
      <c r="B33" s="10">
        <v>12210</v>
      </c>
      <c r="C33" s="8" t="s">
        <v>109</v>
      </c>
      <c r="D33" s="53"/>
      <c r="E33" s="9"/>
    </row>
    <row r="34" spans="1:5" ht="30" x14ac:dyDescent="0.25">
      <c r="A34" s="10"/>
      <c r="B34" s="10">
        <v>12215</v>
      </c>
      <c r="C34" s="8" t="s">
        <v>100</v>
      </c>
      <c r="D34" s="53"/>
      <c r="E34" s="9"/>
    </row>
    <row r="35" spans="1:5" x14ac:dyDescent="0.25">
      <c r="A35" s="10"/>
      <c r="B35" s="10">
        <v>13201</v>
      </c>
      <c r="C35" s="8" t="s">
        <v>110</v>
      </c>
      <c r="D35" s="53"/>
      <c r="E35" s="9"/>
    </row>
    <row r="36" spans="1:5" x14ac:dyDescent="0.25">
      <c r="A36" s="10" t="s">
        <v>111</v>
      </c>
      <c r="B36" s="10">
        <v>13101</v>
      </c>
      <c r="C36" s="8" t="s">
        <v>112</v>
      </c>
      <c r="D36" s="53"/>
      <c r="E36" s="9"/>
    </row>
    <row r="37" spans="1:5" x14ac:dyDescent="0.25">
      <c r="A37" s="10" t="s">
        <v>113</v>
      </c>
      <c r="B37" s="10">
        <v>15101</v>
      </c>
      <c r="C37" s="8" t="s">
        <v>114</v>
      </c>
      <c r="D37" s="54">
        <v>1397675.16</v>
      </c>
      <c r="E37" s="9"/>
    </row>
    <row r="38" spans="1:5" x14ac:dyDescent="0.25">
      <c r="A38" s="10" t="s">
        <v>115</v>
      </c>
      <c r="B38" s="10">
        <v>15201</v>
      </c>
      <c r="C38" s="8" t="s">
        <v>116</v>
      </c>
      <c r="D38" s="53">
        <v>1413606.41</v>
      </c>
      <c r="E38" s="9"/>
    </row>
    <row r="39" spans="1:5" ht="30" x14ac:dyDescent="0.25">
      <c r="A39" s="10"/>
      <c r="B39" s="10">
        <v>15301</v>
      </c>
      <c r="C39" s="8" t="s">
        <v>117</v>
      </c>
      <c r="D39" s="53">
        <v>195763.02</v>
      </c>
      <c r="E39" s="9"/>
    </row>
    <row r="40" spans="1:5" x14ac:dyDescent="0.25">
      <c r="A40" s="11"/>
      <c r="B40" s="11">
        <v>2</v>
      </c>
      <c r="C40" s="5" t="s">
        <v>118</v>
      </c>
      <c r="D40" s="12">
        <f>SUM(D41:D92)</f>
        <v>8557577.209999999</v>
      </c>
      <c r="E40" s="12"/>
    </row>
    <row r="41" spans="1:5" x14ac:dyDescent="0.25">
      <c r="A41" s="10" t="s">
        <v>119</v>
      </c>
      <c r="B41" s="10">
        <v>21201</v>
      </c>
      <c r="C41" s="8" t="s">
        <v>120</v>
      </c>
      <c r="D41" s="53">
        <v>89795.61</v>
      </c>
      <c r="E41" s="9"/>
    </row>
    <row r="42" spans="1:5" x14ac:dyDescent="0.25">
      <c r="A42" s="10" t="s">
        <v>121</v>
      </c>
      <c r="B42" s="10">
        <v>21301</v>
      </c>
      <c r="C42" s="8" t="s">
        <v>122</v>
      </c>
      <c r="D42" s="53">
        <v>43851.41</v>
      </c>
      <c r="E42" s="9"/>
    </row>
    <row r="43" spans="1:5" x14ac:dyDescent="0.25">
      <c r="A43" s="10" t="s">
        <v>123</v>
      </c>
      <c r="B43" s="10">
        <v>21401</v>
      </c>
      <c r="C43" s="8" t="s">
        <v>124</v>
      </c>
      <c r="D43" s="53"/>
      <c r="E43" s="9"/>
    </row>
    <row r="44" spans="1:5" x14ac:dyDescent="0.25">
      <c r="A44" s="10" t="s">
        <v>125</v>
      </c>
      <c r="B44" s="10">
        <v>21501</v>
      </c>
      <c r="C44" s="8" t="s">
        <v>126</v>
      </c>
      <c r="D44" s="53">
        <v>1642355.47</v>
      </c>
      <c r="E44" s="9"/>
    </row>
    <row r="45" spans="1:5" x14ac:dyDescent="0.25">
      <c r="A45" s="10" t="s">
        <v>127</v>
      </c>
      <c r="B45" s="10">
        <v>21601</v>
      </c>
      <c r="C45" s="8" t="s">
        <v>128</v>
      </c>
      <c r="D45" s="53">
        <v>1635235.8</v>
      </c>
      <c r="E45" s="9"/>
    </row>
    <row r="46" spans="1:5" x14ac:dyDescent="0.25">
      <c r="A46" s="10" t="s">
        <v>129</v>
      </c>
      <c r="B46" s="10">
        <v>21701</v>
      </c>
      <c r="C46" s="8" t="s">
        <v>130</v>
      </c>
      <c r="D46" s="53">
        <f>13170+450+5940</f>
        <v>19560</v>
      </c>
      <c r="E46" s="9"/>
    </row>
    <row r="47" spans="1:5" x14ac:dyDescent="0.25">
      <c r="A47" s="10" t="s">
        <v>131</v>
      </c>
      <c r="B47" s="10">
        <v>21801</v>
      </c>
      <c r="C47" s="8" t="s">
        <v>132</v>
      </c>
      <c r="D47" s="9">
        <v>9544</v>
      </c>
      <c r="E47" s="9"/>
    </row>
    <row r="48" spans="1:5" x14ac:dyDescent="0.25">
      <c r="A48" s="10" t="s">
        <v>133</v>
      </c>
      <c r="B48" s="10">
        <v>22101</v>
      </c>
      <c r="C48" s="8" t="s">
        <v>134</v>
      </c>
      <c r="D48" s="9">
        <v>37487</v>
      </c>
      <c r="E48" s="9"/>
    </row>
    <row r="49" spans="1:5" x14ac:dyDescent="0.25">
      <c r="A49" s="10" t="s">
        <v>135</v>
      </c>
      <c r="B49" s="10">
        <v>22201</v>
      </c>
      <c r="C49" s="8" t="s">
        <v>136</v>
      </c>
      <c r="D49" s="53">
        <v>31600</v>
      </c>
      <c r="E49" s="9"/>
    </row>
    <row r="50" spans="1:5" x14ac:dyDescent="0.25">
      <c r="A50" s="10" t="s">
        <v>137</v>
      </c>
      <c r="B50" s="10">
        <v>23101</v>
      </c>
      <c r="C50" s="8" t="s">
        <v>138</v>
      </c>
      <c r="D50" s="53">
        <f>155300+172300</f>
        <v>327600</v>
      </c>
      <c r="E50" s="9"/>
    </row>
    <row r="51" spans="1:5" x14ac:dyDescent="0.25">
      <c r="A51" s="10" t="s">
        <v>139</v>
      </c>
      <c r="B51" s="10">
        <v>23201</v>
      </c>
      <c r="C51" s="8" t="s">
        <v>140</v>
      </c>
      <c r="D51" s="53"/>
      <c r="E51" s="9"/>
    </row>
    <row r="52" spans="1:5" x14ac:dyDescent="0.25">
      <c r="A52" s="10" t="s">
        <v>141</v>
      </c>
      <c r="B52" s="10">
        <v>24101</v>
      </c>
      <c r="C52" s="8" t="s">
        <v>142</v>
      </c>
      <c r="D52" s="53"/>
      <c r="E52" s="9"/>
    </row>
    <row r="53" spans="1:5" x14ac:dyDescent="0.25">
      <c r="A53" s="10" t="s">
        <v>143</v>
      </c>
      <c r="B53" s="10">
        <v>24201</v>
      </c>
      <c r="C53" s="8" t="s">
        <v>144</v>
      </c>
      <c r="D53" s="53"/>
      <c r="E53" s="9"/>
    </row>
    <row r="54" spans="1:5" x14ac:dyDescent="0.25">
      <c r="A54" s="10" t="s">
        <v>145</v>
      </c>
      <c r="B54" s="10">
        <v>24401</v>
      </c>
      <c r="C54" s="8" t="s">
        <v>146</v>
      </c>
      <c r="D54" s="53"/>
      <c r="E54" s="9"/>
    </row>
    <row r="55" spans="1:5" x14ac:dyDescent="0.25">
      <c r="A55" s="10" t="s">
        <v>147</v>
      </c>
      <c r="B55" s="10">
        <v>25101</v>
      </c>
      <c r="C55" s="8" t="s">
        <v>148</v>
      </c>
      <c r="D55" s="53">
        <v>481076.13</v>
      </c>
      <c r="E55" s="9"/>
    </row>
    <row r="56" spans="1:5" x14ac:dyDescent="0.25">
      <c r="A56" s="10"/>
      <c r="B56" s="10">
        <v>25302</v>
      </c>
      <c r="C56" s="8" t="s">
        <v>149</v>
      </c>
      <c r="D56" s="53"/>
      <c r="E56" s="9"/>
    </row>
    <row r="57" spans="1:5" x14ac:dyDescent="0.25">
      <c r="A57" s="10"/>
      <c r="B57" s="10">
        <v>25303</v>
      </c>
      <c r="C57" s="8" t="s">
        <v>150</v>
      </c>
      <c r="D57" s="53"/>
      <c r="E57" s="9"/>
    </row>
    <row r="58" spans="1:5" ht="30" x14ac:dyDescent="0.25">
      <c r="A58" s="10"/>
      <c r="B58" s="10">
        <v>25304</v>
      </c>
      <c r="C58" s="8" t="s">
        <v>151</v>
      </c>
      <c r="D58" s="53"/>
      <c r="E58" s="9"/>
    </row>
    <row r="59" spans="1:5" ht="30" x14ac:dyDescent="0.25">
      <c r="A59" s="10" t="s">
        <v>152</v>
      </c>
      <c r="B59" s="10">
        <v>25401</v>
      </c>
      <c r="C59" s="8" t="s">
        <v>153</v>
      </c>
      <c r="D59" s="53">
        <v>75000</v>
      </c>
      <c r="E59" s="9"/>
    </row>
    <row r="60" spans="1:5" x14ac:dyDescent="0.25">
      <c r="A60" s="10" t="s">
        <v>154</v>
      </c>
      <c r="B60" s="10">
        <v>25801</v>
      </c>
      <c r="C60" s="8" t="s">
        <v>155</v>
      </c>
      <c r="D60" s="9"/>
      <c r="E60" s="9"/>
    </row>
    <row r="61" spans="1:5" ht="30" x14ac:dyDescent="0.25">
      <c r="A61" s="10"/>
      <c r="B61" s="10">
        <v>26101</v>
      </c>
      <c r="C61" s="8" t="s">
        <v>156</v>
      </c>
      <c r="D61" s="9"/>
      <c r="E61" s="9"/>
    </row>
    <row r="62" spans="1:5" x14ac:dyDescent="0.25">
      <c r="A62" s="10" t="s">
        <v>157</v>
      </c>
      <c r="B62" s="10">
        <v>26201</v>
      </c>
      <c r="C62" s="8" t="s">
        <v>158</v>
      </c>
      <c r="D62" s="9"/>
      <c r="E62" s="9"/>
    </row>
    <row r="63" spans="1:5" x14ac:dyDescent="0.25">
      <c r="A63" s="10" t="s">
        <v>159</v>
      </c>
      <c r="B63" s="10">
        <v>26301</v>
      </c>
      <c r="C63" s="8" t="s">
        <v>160</v>
      </c>
      <c r="D63" s="53">
        <v>745677.35</v>
      </c>
      <c r="E63" s="9"/>
    </row>
    <row r="64" spans="1:5" x14ac:dyDescent="0.25">
      <c r="A64" s="10" t="s">
        <v>161</v>
      </c>
      <c r="B64" s="10">
        <v>27101</v>
      </c>
      <c r="C64" s="8" t="s">
        <v>162</v>
      </c>
      <c r="D64" s="9"/>
      <c r="E64" s="9"/>
    </row>
    <row r="65" spans="1:5" x14ac:dyDescent="0.25">
      <c r="A65" s="10" t="s">
        <v>163</v>
      </c>
      <c r="B65" s="10">
        <v>27102</v>
      </c>
      <c r="C65" s="8" t="s">
        <v>164</v>
      </c>
      <c r="D65" s="9"/>
      <c r="E65" s="9"/>
    </row>
    <row r="66" spans="1:5" x14ac:dyDescent="0.25">
      <c r="A66" s="10"/>
      <c r="B66" s="10">
        <v>27104</v>
      </c>
      <c r="C66" s="8" t="s">
        <v>165</v>
      </c>
      <c r="D66" s="9"/>
      <c r="E66" s="9"/>
    </row>
    <row r="67" spans="1:5" x14ac:dyDescent="0.25">
      <c r="A67" s="10" t="s">
        <v>166</v>
      </c>
      <c r="B67" s="10">
        <v>27106</v>
      </c>
      <c r="C67" s="8" t="s">
        <v>404</v>
      </c>
      <c r="D67" s="9"/>
      <c r="E67" s="9"/>
    </row>
    <row r="68" spans="1:5" ht="30" x14ac:dyDescent="0.25">
      <c r="A68" s="10"/>
      <c r="B68" s="10">
        <v>27107</v>
      </c>
      <c r="C68" s="8" t="s">
        <v>168</v>
      </c>
      <c r="D68" s="9"/>
      <c r="E68" s="9"/>
    </row>
    <row r="69" spans="1:5" ht="30" x14ac:dyDescent="0.25">
      <c r="A69" s="10" t="s">
        <v>169</v>
      </c>
      <c r="B69" s="10">
        <v>27201</v>
      </c>
      <c r="C69" s="8" t="s">
        <v>170</v>
      </c>
      <c r="D69" s="9"/>
      <c r="E69" s="9"/>
    </row>
    <row r="70" spans="1:5" x14ac:dyDescent="0.25">
      <c r="A70" s="10"/>
      <c r="B70" s="10">
        <v>27202</v>
      </c>
      <c r="C70" s="8" t="s">
        <v>171</v>
      </c>
      <c r="D70" s="9"/>
      <c r="E70" s="9"/>
    </row>
    <row r="71" spans="1:5" ht="30" x14ac:dyDescent="0.25">
      <c r="A71" s="10"/>
      <c r="B71" s="10">
        <v>272041</v>
      </c>
      <c r="C71" s="8" t="s">
        <v>172</v>
      </c>
      <c r="D71" s="9"/>
      <c r="E71" s="9"/>
    </row>
    <row r="72" spans="1:5" ht="30" x14ac:dyDescent="0.25">
      <c r="A72" s="10" t="s">
        <v>173</v>
      </c>
      <c r="B72" s="10">
        <v>27205</v>
      </c>
      <c r="C72" s="8" t="s">
        <v>174</v>
      </c>
      <c r="D72" s="9"/>
      <c r="E72" s="9"/>
    </row>
    <row r="73" spans="1:5" ht="30" x14ac:dyDescent="0.25">
      <c r="A73" s="10" t="s">
        <v>175</v>
      </c>
      <c r="B73" s="10">
        <v>27206</v>
      </c>
      <c r="C73" s="8" t="s">
        <v>176</v>
      </c>
      <c r="D73" s="53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177</v>
      </c>
      <c r="D74" s="53">
        <v>444754.86</v>
      </c>
      <c r="E74" s="9"/>
    </row>
    <row r="75" spans="1:5" x14ac:dyDescent="0.25">
      <c r="A75" s="10" t="s">
        <v>178</v>
      </c>
      <c r="B75" s="10">
        <v>28201</v>
      </c>
      <c r="C75" s="8" t="s">
        <v>179</v>
      </c>
      <c r="D75" s="53"/>
      <c r="E75" s="9"/>
    </row>
    <row r="76" spans="1:5" x14ac:dyDescent="0.25">
      <c r="A76" s="10" t="s">
        <v>181</v>
      </c>
      <c r="B76" s="10">
        <v>28401</v>
      </c>
      <c r="C76" s="8" t="s">
        <v>182</v>
      </c>
      <c r="D76" s="53"/>
      <c r="E76" s="9"/>
    </row>
    <row r="77" spans="1:5" x14ac:dyDescent="0.25">
      <c r="A77" s="10" t="s">
        <v>183</v>
      </c>
      <c r="B77" s="10">
        <v>28501</v>
      </c>
      <c r="C77" s="8" t="s">
        <v>184</v>
      </c>
      <c r="D77" s="53"/>
      <c r="E77" s="9"/>
    </row>
    <row r="78" spans="1:5" x14ac:dyDescent="0.25">
      <c r="A78" s="10" t="s">
        <v>185</v>
      </c>
      <c r="B78" s="10">
        <v>28502</v>
      </c>
      <c r="C78" s="8" t="s">
        <v>186</v>
      </c>
      <c r="D78" s="53"/>
      <c r="E78" s="9"/>
    </row>
    <row r="79" spans="1:5" x14ac:dyDescent="0.25">
      <c r="A79" s="10" t="s">
        <v>187</v>
      </c>
      <c r="B79" s="10">
        <v>28503</v>
      </c>
      <c r="C79" s="8" t="s">
        <v>188</v>
      </c>
      <c r="D79" s="53">
        <v>110444.03</v>
      </c>
      <c r="E79" s="9"/>
    </row>
    <row r="80" spans="1:5" x14ac:dyDescent="0.25">
      <c r="A80" s="10" t="s">
        <v>189</v>
      </c>
      <c r="B80" s="10">
        <v>28601</v>
      </c>
      <c r="C80" s="8" t="s">
        <v>190</v>
      </c>
      <c r="D80" s="53"/>
      <c r="E80" s="9"/>
    </row>
    <row r="81" spans="1:5" x14ac:dyDescent="0.25">
      <c r="A81" s="10"/>
      <c r="B81" s="10">
        <v>28602</v>
      </c>
      <c r="C81" s="8" t="s">
        <v>191</v>
      </c>
      <c r="D81" s="53"/>
      <c r="E81" s="9"/>
    </row>
    <row r="82" spans="1:5" ht="30" x14ac:dyDescent="0.25">
      <c r="A82" s="10"/>
      <c r="B82" s="10">
        <v>28701</v>
      </c>
      <c r="C82" s="8" t="s">
        <v>192</v>
      </c>
      <c r="D82" s="53">
        <v>144717.56</v>
      </c>
      <c r="E82" s="9"/>
    </row>
    <row r="83" spans="1:5" x14ac:dyDescent="0.25">
      <c r="A83" s="10"/>
      <c r="B83" s="10">
        <v>28702</v>
      </c>
      <c r="C83" s="8" t="s">
        <v>193</v>
      </c>
      <c r="D83" s="53"/>
      <c r="E83" s="9"/>
    </row>
    <row r="84" spans="1:5" x14ac:dyDescent="0.25">
      <c r="A84" s="10"/>
      <c r="B84" s="10">
        <v>28704</v>
      </c>
      <c r="C84" s="8" t="s">
        <v>194</v>
      </c>
      <c r="D84" s="53"/>
      <c r="E84" s="9"/>
    </row>
    <row r="85" spans="1:5" x14ac:dyDescent="0.25">
      <c r="A85" s="10"/>
      <c r="B85" s="10">
        <v>28705</v>
      </c>
      <c r="C85" s="8" t="s">
        <v>195</v>
      </c>
      <c r="D85" s="53"/>
      <c r="E85" s="9"/>
    </row>
    <row r="86" spans="1:5" x14ac:dyDescent="0.25">
      <c r="A86" s="10" t="s">
        <v>196</v>
      </c>
      <c r="B86" s="10">
        <v>28706</v>
      </c>
      <c r="C86" s="8" t="s">
        <v>197</v>
      </c>
      <c r="D86" s="53">
        <f>40000+30000</f>
        <v>70000</v>
      </c>
      <c r="E86" s="9"/>
    </row>
    <row r="87" spans="1:5" x14ac:dyDescent="0.25">
      <c r="A87" s="10" t="s">
        <v>198</v>
      </c>
      <c r="B87" s="10">
        <v>28801</v>
      </c>
      <c r="C87" s="8" t="s">
        <v>199</v>
      </c>
      <c r="D87" s="9"/>
      <c r="E87" s="9"/>
    </row>
    <row r="88" spans="1:5" x14ac:dyDescent="0.25">
      <c r="A88" s="10"/>
      <c r="B88" s="10">
        <v>28802</v>
      </c>
      <c r="C88" s="8" t="s">
        <v>200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200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200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201</v>
      </c>
      <c r="D91" s="9"/>
      <c r="E91" s="9"/>
    </row>
    <row r="92" spans="1:5" x14ac:dyDescent="0.25">
      <c r="A92" s="10"/>
      <c r="B92" s="10">
        <v>29201</v>
      </c>
      <c r="C92" s="8" t="s">
        <v>202</v>
      </c>
      <c r="D92" s="53">
        <v>2493717.6</v>
      </c>
      <c r="E92" s="9"/>
    </row>
    <row r="93" spans="1:5" x14ac:dyDescent="0.25">
      <c r="A93" s="11"/>
      <c r="B93" s="11">
        <v>3</v>
      </c>
      <c r="C93" s="5" t="s">
        <v>203</v>
      </c>
      <c r="D93" s="12">
        <f>SUM(D94:D145)</f>
        <v>17138966.340000004</v>
      </c>
      <c r="E93" s="12"/>
    </row>
    <row r="94" spans="1:5" x14ac:dyDescent="0.25">
      <c r="A94" s="10" t="s">
        <v>204</v>
      </c>
      <c r="B94" s="10">
        <v>31101</v>
      </c>
      <c r="C94" s="8" t="s">
        <v>205</v>
      </c>
      <c r="D94" s="9"/>
      <c r="E94" s="9"/>
    </row>
    <row r="95" spans="1:5" x14ac:dyDescent="0.25">
      <c r="A95" s="10" t="s">
        <v>206</v>
      </c>
      <c r="B95" s="10">
        <v>31303</v>
      </c>
      <c r="C95" s="8" t="s">
        <v>207</v>
      </c>
      <c r="D95" s="9"/>
      <c r="E95" s="9"/>
    </row>
    <row r="96" spans="1:5" x14ac:dyDescent="0.25">
      <c r="A96" s="10" t="s">
        <v>208</v>
      </c>
      <c r="B96" s="10">
        <v>31401</v>
      </c>
      <c r="C96" s="8" t="s">
        <v>209</v>
      </c>
      <c r="D96" s="9"/>
      <c r="E96" s="9"/>
    </row>
    <row r="97" spans="1:5" x14ac:dyDescent="0.25">
      <c r="A97" s="10" t="s">
        <v>210</v>
      </c>
      <c r="B97" s="10">
        <v>32101</v>
      </c>
      <c r="C97" s="8" t="s">
        <v>211</v>
      </c>
      <c r="D97" s="9"/>
      <c r="E97" s="9"/>
    </row>
    <row r="98" spans="1:5" x14ac:dyDescent="0.25">
      <c r="A98" s="10" t="s">
        <v>212</v>
      </c>
      <c r="B98" s="10">
        <v>32201</v>
      </c>
      <c r="C98" s="8" t="s">
        <v>213</v>
      </c>
      <c r="D98" s="9"/>
      <c r="E98" s="9"/>
    </row>
    <row r="99" spans="1:5" x14ac:dyDescent="0.25">
      <c r="A99" s="10" t="s">
        <v>214</v>
      </c>
      <c r="B99" s="10">
        <v>32301</v>
      </c>
      <c r="C99" s="8" t="s">
        <v>215</v>
      </c>
      <c r="D99" s="53">
        <v>15199.91</v>
      </c>
      <c r="E99" s="9"/>
    </row>
    <row r="100" spans="1:5" x14ac:dyDescent="0.25">
      <c r="A100" s="10" t="s">
        <v>216</v>
      </c>
      <c r="B100" s="10">
        <v>32401</v>
      </c>
      <c r="C100" s="8" t="s">
        <v>217</v>
      </c>
      <c r="D100" s="53"/>
      <c r="E100" s="9"/>
    </row>
    <row r="101" spans="1:5" x14ac:dyDescent="0.25">
      <c r="A101" s="10" t="s">
        <v>218</v>
      </c>
      <c r="B101" s="10">
        <v>33101</v>
      </c>
      <c r="C101" s="8" t="s">
        <v>219</v>
      </c>
      <c r="D101" s="53"/>
      <c r="E101" s="9"/>
    </row>
    <row r="102" spans="1:5" x14ac:dyDescent="0.25">
      <c r="A102" s="10" t="s">
        <v>220</v>
      </c>
      <c r="B102" s="10">
        <v>33201</v>
      </c>
      <c r="C102" s="8" t="s">
        <v>221</v>
      </c>
      <c r="D102" s="53"/>
      <c r="E102" s="9"/>
    </row>
    <row r="103" spans="1:5" x14ac:dyDescent="0.25">
      <c r="A103" s="10" t="s">
        <v>222</v>
      </c>
      <c r="B103" s="10">
        <v>33301</v>
      </c>
      <c r="C103" s="8" t="s">
        <v>223</v>
      </c>
      <c r="D103" s="53"/>
      <c r="E103" s="9"/>
    </row>
    <row r="104" spans="1:5" x14ac:dyDescent="0.25">
      <c r="A104" s="10" t="s">
        <v>224</v>
      </c>
      <c r="B104" s="10">
        <v>33401</v>
      </c>
      <c r="C104" s="8" t="s">
        <v>225</v>
      </c>
      <c r="D104" s="53"/>
      <c r="E104" s="9"/>
    </row>
    <row r="105" spans="1:5" x14ac:dyDescent="0.25">
      <c r="A105" s="10" t="s">
        <v>226</v>
      </c>
      <c r="B105" s="10">
        <v>33601</v>
      </c>
      <c r="C105" s="8" t="s">
        <v>227</v>
      </c>
      <c r="D105" s="53">
        <v>14583333</v>
      </c>
      <c r="E105" s="9"/>
    </row>
    <row r="106" spans="1:5" x14ac:dyDescent="0.25">
      <c r="A106" s="10" t="s">
        <v>228</v>
      </c>
      <c r="B106" s="10">
        <v>34101</v>
      </c>
      <c r="C106" s="8" t="s">
        <v>229</v>
      </c>
      <c r="D106" s="53">
        <v>1014543</v>
      </c>
      <c r="E106" s="9"/>
    </row>
    <row r="107" spans="1:5" x14ac:dyDescent="0.25">
      <c r="A107" s="10" t="s">
        <v>230</v>
      </c>
      <c r="B107" s="10">
        <v>35101</v>
      </c>
      <c r="C107" s="8" t="s">
        <v>231</v>
      </c>
      <c r="D107" s="9"/>
      <c r="E107" s="9"/>
    </row>
    <row r="108" spans="1:5" x14ac:dyDescent="0.25">
      <c r="A108" s="10" t="s">
        <v>232</v>
      </c>
      <c r="B108" s="10">
        <v>35201</v>
      </c>
      <c r="C108" s="8" t="s">
        <v>233</v>
      </c>
      <c r="D108" s="9"/>
      <c r="E108" s="9"/>
    </row>
    <row r="109" spans="1:5" x14ac:dyDescent="0.25">
      <c r="A109" s="10" t="s">
        <v>234</v>
      </c>
      <c r="B109" s="10">
        <v>35301</v>
      </c>
      <c r="C109" s="8" t="s">
        <v>235</v>
      </c>
      <c r="D109" s="9"/>
      <c r="E109" s="9"/>
    </row>
    <row r="110" spans="1:5" x14ac:dyDescent="0.25">
      <c r="A110" s="10" t="s">
        <v>236</v>
      </c>
      <c r="B110" s="10">
        <v>35401</v>
      </c>
      <c r="C110" s="8" t="s">
        <v>237</v>
      </c>
      <c r="D110" s="9"/>
      <c r="E110" s="9"/>
    </row>
    <row r="111" spans="1:5" x14ac:dyDescent="0.25">
      <c r="A111" s="10" t="s">
        <v>238</v>
      </c>
      <c r="B111" s="10">
        <v>35501</v>
      </c>
      <c r="C111" s="8" t="s">
        <v>239</v>
      </c>
      <c r="D111" s="53">
        <v>2879.97</v>
      </c>
      <c r="E111" s="9"/>
    </row>
    <row r="112" spans="1:5" x14ac:dyDescent="0.25">
      <c r="A112" s="10" t="s">
        <v>240</v>
      </c>
      <c r="B112" s="10">
        <v>36101</v>
      </c>
      <c r="C112" s="8" t="s">
        <v>241</v>
      </c>
      <c r="D112" s="9"/>
      <c r="E112" s="9"/>
    </row>
    <row r="113" spans="1:9" x14ac:dyDescent="0.25">
      <c r="A113" s="10"/>
      <c r="B113" s="10">
        <v>36102</v>
      </c>
      <c r="C113" s="8" t="s">
        <v>242</v>
      </c>
      <c r="D113" s="9"/>
      <c r="E113" s="9"/>
    </row>
    <row r="114" spans="1:9" x14ac:dyDescent="0.25">
      <c r="A114" s="10" t="s">
        <v>243</v>
      </c>
      <c r="B114" s="10">
        <v>36104</v>
      </c>
      <c r="C114" s="8" t="s">
        <v>244</v>
      </c>
      <c r="D114" s="9"/>
      <c r="E114" s="9"/>
    </row>
    <row r="115" spans="1:9" x14ac:dyDescent="0.25">
      <c r="A115" s="10" t="s">
        <v>245</v>
      </c>
      <c r="B115" s="10">
        <v>36201</v>
      </c>
      <c r="C115" s="8" t="s">
        <v>246</v>
      </c>
      <c r="D115" s="9"/>
      <c r="E115" s="9"/>
    </row>
    <row r="116" spans="1:9" x14ac:dyDescent="0.25">
      <c r="A116" s="10" t="s">
        <v>247</v>
      </c>
      <c r="B116" s="10">
        <v>36202</v>
      </c>
      <c r="C116" s="8" t="s">
        <v>248</v>
      </c>
      <c r="D116" s="9"/>
      <c r="E116" s="9"/>
    </row>
    <row r="117" spans="1:9" x14ac:dyDescent="0.25">
      <c r="A117" s="10" t="s">
        <v>249</v>
      </c>
      <c r="B117" s="10">
        <v>36203</v>
      </c>
      <c r="C117" s="8" t="s">
        <v>250</v>
      </c>
      <c r="D117" s="9"/>
      <c r="E117" s="9"/>
    </row>
    <row r="118" spans="1:9" x14ac:dyDescent="0.25">
      <c r="A118" s="10" t="s">
        <v>251</v>
      </c>
      <c r="B118" s="10">
        <v>36301</v>
      </c>
      <c r="C118" s="8" t="s">
        <v>252</v>
      </c>
      <c r="D118" s="9"/>
      <c r="E118" s="9"/>
    </row>
    <row r="119" spans="1:9" x14ac:dyDescent="0.25">
      <c r="A119" s="10"/>
      <c r="B119" s="10">
        <v>36302</v>
      </c>
      <c r="C119" s="8" t="s">
        <v>248</v>
      </c>
      <c r="D119" s="9"/>
      <c r="E119" s="9"/>
    </row>
    <row r="120" spans="1:9" x14ac:dyDescent="0.25">
      <c r="A120" s="10" t="s">
        <v>253</v>
      </c>
      <c r="B120" s="10">
        <v>36303</v>
      </c>
      <c r="C120" s="8" t="s">
        <v>254</v>
      </c>
      <c r="D120" s="9"/>
      <c r="E120" s="9"/>
    </row>
    <row r="121" spans="1:9" x14ac:dyDescent="0.25">
      <c r="A121" s="10" t="s">
        <v>255</v>
      </c>
      <c r="B121" s="10">
        <v>36304</v>
      </c>
      <c r="C121" s="8" t="s">
        <v>256</v>
      </c>
      <c r="D121" s="53">
        <v>11969.95</v>
      </c>
      <c r="E121" s="9"/>
    </row>
    <row r="122" spans="1:9" s="1" customFormat="1" x14ac:dyDescent="0.25">
      <c r="A122" s="10" t="s">
        <v>255</v>
      </c>
      <c r="B122" s="10">
        <v>36306</v>
      </c>
      <c r="C122" s="8" t="s">
        <v>405</v>
      </c>
      <c r="D122" s="53"/>
      <c r="E122" s="9"/>
      <c r="G122"/>
      <c r="H122"/>
      <c r="I122"/>
    </row>
    <row r="123" spans="1:9" s="1" customFormat="1" x14ac:dyDescent="0.25">
      <c r="A123" s="10"/>
      <c r="B123" s="51">
        <v>36307</v>
      </c>
      <c r="C123" s="52" t="s">
        <v>258</v>
      </c>
      <c r="D123" s="53">
        <v>6199.84</v>
      </c>
      <c r="E123" s="9"/>
      <c r="G123"/>
      <c r="H123"/>
      <c r="I123"/>
    </row>
    <row r="124" spans="1:9" s="1" customFormat="1" x14ac:dyDescent="0.25">
      <c r="A124" s="10"/>
      <c r="B124" s="51">
        <v>36401</v>
      </c>
      <c r="C124" s="52"/>
      <c r="D124" s="53"/>
      <c r="E124" s="9"/>
      <c r="G124"/>
      <c r="H124"/>
      <c r="I124"/>
    </row>
    <row r="125" spans="1:9" s="1" customFormat="1" x14ac:dyDescent="0.25">
      <c r="A125" s="10" t="s">
        <v>243</v>
      </c>
      <c r="B125" s="51">
        <v>36403</v>
      </c>
      <c r="C125" s="52" t="s">
        <v>259</v>
      </c>
      <c r="D125" s="53"/>
      <c r="E125" s="9"/>
      <c r="G125"/>
      <c r="H125"/>
      <c r="I125"/>
    </row>
    <row r="126" spans="1:9" s="1" customFormat="1" x14ac:dyDescent="0.25">
      <c r="A126" s="10" t="s">
        <v>260</v>
      </c>
      <c r="B126" s="51">
        <v>37101</v>
      </c>
      <c r="C126" s="52" t="s">
        <v>261</v>
      </c>
      <c r="D126" s="53"/>
      <c r="E126" s="9"/>
      <c r="G126"/>
      <c r="H126"/>
      <c r="I126"/>
    </row>
    <row r="127" spans="1:9" s="1" customFormat="1" x14ac:dyDescent="0.25">
      <c r="A127" s="10" t="s">
        <v>262</v>
      </c>
      <c r="B127" s="51">
        <v>37102</v>
      </c>
      <c r="C127" s="52" t="s">
        <v>263</v>
      </c>
      <c r="D127" s="53"/>
      <c r="E127" s="9"/>
      <c r="G127"/>
      <c r="H127"/>
      <c r="I127"/>
    </row>
    <row r="128" spans="1:9" s="1" customFormat="1" x14ac:dyDescent="0.25">
      <c r="A128" s="10" t="s">
        <v>264</v>
      </c>
      <c r="B128" s="51">
        <v>37104</v>
      </c>
      <c r="C128" s="52" t="s">
        <v>265</v>
      </c>
      <c r="D128" s="53"/>
      <c r="E128" s="9"/>
      <c r="G128"/>
      <c r="H128"/>
      <c r="I128"/>
    </row>
    <row r="129" spans="1:9" s="1" customFormat="1" x14ac:dyDescent="0.25">
      <c r="A129" s="10" t="s">
        <v>266</v>
      </c>
      <c r="B129" s="51">
        <v>37105</v>
      </c>
      <c r="C129" s="52" t="s">
        <v>267</v>
      </c>
      <c r="D129" s="53">
        <v>639.98</v>
      </c>
      <c r="E129" s="9"/>
      <c r="G129"/>
      <c r="H129"/>
      <c r="I129"/>
    </row>
    <row r="130" spans="1:9" s="1" customFormat="1" x14ac:dyDescent="0.25">
      <c r="A130" s="10" t="s">
        <v>268</v>
      </c>
      <c r="B130" s="51">
        <v>37106</v>
      </c>
      <c r="C130" s="52" t="s">
        <v>269</v>
      </c>
      <c r="D130" s="53"/>
      <c r="E130" s="9"/>
      <c r="G130"/>
      <c r="H130"/>
      <c r="I130"/>
    </row>
    <row r="131" spans="1:9" s="1" customFormat="1" x14ac:dyDescent="0.25">
      <c r="A131" s="10"/>
      <c r="B131" s="51">
        <v>37201</v>
      </c>
      <c r="C131" s="52" t="s">
        <v>270</v>
      </c>
      <c r="D131" s="53">
        <v>814.99</v>
      </c>
      <c r="E131" s="9"/>
      <c r="G131"/>
      <c r="H131"/>
      <c r="I131"/>
    </row>
    <row r="132" spans="1:9" s="1" customFormat="1" x14ac:dyDescent="0.25">
      <c r="A132" s="10" t="s">
        <v>273</v>
      </c>
      <c r="B132" s="10">
        <v>37205</v>
      </c>
      <c r="C132" s="8" t="s">
        <v>274</v>
      </c>
      <c r="D132" s="9"/>
      <c r="E132" s="9"/>
      <c r="G132"/>
      <c r="H132"/>
      <c r="I132"/>
    </row>
    <row r="133" spans="1:9" s="1" customFormat="1" x14ac:dyDescent="0.25">
      <c r="A133" s="10" t="s">
        <v>271</v>
      </c>
      <c r="B133" s="10">
        <v>37203</v>
      </c>
      <c r="C133" s="8" t="s">
        <v>272</v>
      </c>
      <c r="D133" s="9"/>
      <c r="E133" s="9"/>
      <c r="G133"/>
      <c r="H133"/>
      <c r="I133"/>
    </row>
    <row r="134" spans="1:9" s="1" customFormat="1" x14ac:dyDescent="0.25">
      <c r="A134" s="10" t="s">
        <v>275</v>
      </c>
      <c r="B134" s="10">
        <v>37206</v>
      </c>
      <c r="C134" s="8" t="s">
        <v>276</v>
      </c>
      <c r="D134" s="9"/>
      <c r="E134" s="9"/>
      <c r="G134"/>
      <c r="H134"/>
      <c r="I134"/>
    </row>
    <row r="135" spans="1:9" s="1" customFormat="1" x14ac:dyDescent="0.25">
      <c r="A135" s="10"/>
      <c r="B135" s="51">
        <v>37299</v>
      </c>
      <c r="C135" s="52" t="s">
        <v>277</v>
      </c>
      <c r="D135" s="53">
        <v>40000</v>
      </c>
      <c r="E135" s="9"/>
      <c r="G135"/>
      <c r="H135"/>
      <c r="I135"/>
    </row>
    <row r="136" spans="1:9" s="1" customFormat="1" x14ac:dyDescent="0.25">
      <c r="A136" s="10" t="s">
        <v>278</v>
      </c>
      <c r="B136" s="51">
        <v>39101</v>
      </c>
      <c r="C136" s="52" t="s">
        <v>279</v>
      </c>
      <c r="D136" s="53">
        <v>590</v>
      </c>
      <c r="E136" s="9"/>
      <c r="G136"/>
      <c r="H136"/>
      <c r="I136"/>
    </row>
    <row r="137" spans="1:9" s="1" customFormat="1" ht="30" x14ac:dyDescent="0.25">
      <c r="A137" s="10" t="s">
        <v>280</v>
      </c>
      <c r="B137" s="51">
        <v>39201</v>
      </c>
      <c r="C137" s="52" t="s">
        <v>281</v>
      </c>
      <c r="D137" s="53">
        <v>300406.05</v>
      </c>
      <c r="E137" s="9"/>
      <c r="G137"/>
      <c r="H137"/>
      <c r="I137"/>
    </row>
    <row r="138" spans="1:9" s="1" customFormat="1" x14ac:dyDescent="0.25">
      <c r="A138" s="10"/>
      <c r="B138" s="51">
        <v>39301</v>
      </c>
      <c r="C138" s="52"/>
      <c r="D138" s="53">
        <v>155260</v>
      </c>
      <c r="E138" s="9"/>
      <c r="G138"/>
      <c r="H138"/>
      <c r="I138"/>
    </row>
    <row r="139" spans="1:9" s="1" customFormat="1" x14ac:dyDescent="0.25">
      <c r="A139" s="10" t="s">
        <v>283</v>
      </c>
      <c r="B139" s="51">
        <v>39501</v>
      </c>
      <c r="C139" s="52" t="s">
        <v>284</v>
      </c>
      <c r="D139" s="53"/>
      <c r="E139" s="9"/>
      <c r="G139"/>
      <c r="H139"/>
      <c r="I139"/>
    </row>
    <row r="140" spans="1:9" s="1" customFormat="1" x14ac:dyDescent="0.25">
      <c r="A140" s="10" t="s">
        <v>285</v>
      </c>
      <c r="B140" s="10">
        <v>39601</v>
      </c>
      <c r="C140" s="8" t="s">
        <v>286</v>
      </c>
      <c r="D140" s="53">
        <v>865262.94</v>
      </c>
      <c r="E140" s="9"/>
      <c r="G140"/>
      <c r="H140"/>
      <c r="I140"/>
    </row>
    <row r="141" spans="1:9" s="1" customFormat="1" x14ac:dyDescent="0.25">
      <c r="A141" s="10" t="s">
        <v>287</v>
      </c>
      <c r="B141" s="10">
        <v>39801</v>
      </c>
      <c r="C141" s="8" t="s">
        <v>288</v>
      </c>
      <c r="D141" s="53">
        <v>16399.97</v>
      </c>
      <c r="E141" s="9"/>
      <c r="G141"/>
      <c r="H141"/>
      <c r="I141"/>
    </row>
    <row r="142" spans="1:9" s="1" customFormat="1" x14ac:dyDescent="0.25">
      <c r="A142" s="10" t="s">
        <v>289</v>
      </c>
      <c r="B142" s="10">
        <v>39901</v>
      </c>
      <c r="C142" s="8" t="s">
        <v>290</v>
      </c>
      <c r="D142" s="53">
        <v>90866.8</v>
      </c>
      <c r="E142" s="9"/>
      <c r="G142"/>
      <c r="H142"/>
      <c r="I142"/>
    </row>
    <row r="143" spans="1:9" s="1" customFormat="1" x14ac:dyDescent="0.25">
      <c r="A143" s="10" t="s">
        <v>289</v>
      </c>
      <c r="B143" s="10">
        <v>39902</v>
      </c>
      <c r="C143" s="8" t="s">
        <v>291</v>
      </c>
      <c r="D143" s="53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292</v>
      </c>
      <c r="D144" s="53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293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294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295</v>
      </c>
      <c r="B147" s="10">
        <v>41103</v>
      </c>
      <c r="C147" s="8" t="s">
        <v>296</v>
      </c>
      <c r="D147" s="9"/>
      <c r="E147" s="9"/>
      <c r="G147"/>
      <c r="H147"/>
      <c r="I147"/>
    </row>
    <row r="148" spans="1:9" s="1" customFormat="1" ht="30" x14ac:dyDescent="0.25">
      <c r="A148" s="10" t="s">
        <v>297</v>
      </c>
      <c r="B148" s="10">
        <v>41201</v>
      </c>
      <c r="C148" s="8" t="s">
        <v>298</v>
      </c>
      <c r="D148" s="9"/>
      <c r="E148" s="9"/>
      <c r="G148"/>
      <c r="H148"/>
      <c r="I148"/>
    </row>
    <row r="149" spans="1:9" s="1" customFormat="1" ht="30" x14ac:dyDescent="0.25">
      <c r="A149" s="10" t="s">
        <v>299</v>
      </c>
      <c r="B149" s="10">
        <v>41202</v>
      </c>
      <c r="C149" s="8" t="s">
        <v>300</v>
      </c>
      <c r="D149" s="53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301</v>
      </c>
      <c r="D150" s="9"/>
      <c r="E150" s="9"/>
      <c r="G150"/>
      <c r="H150"/>
      <c r="I150"/>
    </row>
    <row r="151" spans="1:9" s="1" customFormat="1" x14ac:dyDescent="0.25">
      <c r="A151" s="10" t="s">
        <v>302</v>
      </c>
      <c r="B151" s="10">
        <v>41402</v>
      </c>
      <c r="C151" s="8" t="s">
        <v>303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304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305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306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307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308</v>
      </c>
      <c r="D156" s="9"/>
      <c r="E156" s="9"/>
      <c r="G156"/>
      <c r="H156"/>
      <c r="I156"/>
    </row>
    <row r="157" spans="1:9" s="1" customFormat="1" x14ac:dyDescent="0.25">
      <c r="A157" s="10" t="s">
        <v>309</v>
      </c>
      <c r="B157" s="10">
        <v>44102</v>
      </c>
      <c r="C157" s="8" t="s">
        <v>310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3" t="s">
        <v>311</v>
      </c>
      <c r="D158" s="14"/>
      <c r="E158" s="14"/>
      <c r="G158"/>
      <c r="H158"/>
      <c r="I158"/>
    </row>
    <row r="159" spans="1:9" s="1" customFormat="1" x14ac:dyDescent="0.25">
      <c r="A159" s="11"/>
      <c r="B159" s="11" t="s">
        <v>312</v>
      </c>
      <c r="C159" s="13" t="s">
        <v>313</v>
      </c>
      <c r="D159" s="14">
        <v>133000</v>
      </c>
      <c r="E159" s="14"/>
      <c r="G159"/>
      <c r="H159"/>
      <c r="I159"/>
    </row>
    <row r="160" spans="1:9" s="1" customFormat="1" x14ac:dyDescent="0.25">
      <c r="A160" s="10"/>
      <c r="B160" s="10"/>
      <c r="C160" s="8" t="s">
        <v>77</v>
      </c>
      <c r="D160" s="15"/>
      <c r="E160" s="16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314</v>
      </c>
      <c r="C161" s="8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8" t="s">
        <v>77</v>
      </c>
      <c r="D162" s="17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8" t="s">
        <v>315</v>
      </c>
      <c r="D163" s="10"/>
      <c r="E163" s="17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316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8" t="s">
        <v>42</v>
      </c>
      <c r="D165" s="17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8" t="s">
        <v>315</v>
      </c>
      <c r="D166" s="10"/>
      <c r="E166" s="17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317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318</v>
      </c>
      <c r="C168" s="11"/>
      <c r="D168" s="18">
        <f>+E9-E16</f>
        <v>265529192.69000006</v>
      </c>
      <c r="E168" s="18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37"/>
      <c r="G172"/>
      <c r="H172"/>
      <c r="I172"/>
    </row>
    <row r="173" spans="1:9" s="1" customFormat="1" x14ac:dyDescent="0.25">
      <c r="A173"/>
      <c r="B173"/>
      <c r="C173"/>
      <c r="D173"/>
      <c r="E173" s="37"/>
      <c r="G173"/>
      <c r="H173"/>
      <c r="I173"/>
    </row>
    <row r="176" spans="1:9" s="1" customFormat="1" ht="26.25" x14ac:dyDescent="0.25">
      <c r="A176" s="23" t="s">
        <v>319</v>
      </c>
      <c r="B176" s="11">
        <v>6</v>
      </c>
      <c r="C176" s="5" t="s">
        <v>320</v>
      </c>
      <c r="D176" s="12">
        <f>SUM(D177:D195)</f>
        <v>76009.97</v>
      </c>
      <c r="E176" s="19"/>
      <c r="G176"/>
      <c r="H176"/>
      <c r="I176"/>
    </row>
    <row r="177" spans="1:9" s="1" customFormat="1" x14ac:dyDescent="0.25">
      <c r="A177" s="26">
        <v>1206010007</v>
      </c>
      <c r="B177" s="10">
        <v>61101</v>
      </c>
      <c r="C177" s="8" t="s">
        <v>321</v>
      </c>
      <c r="D177" s="9"/>
      <c r="E177" s="20"/>
      <c r="G177"/>
      <c r="H177"/>
      <c r="I177"/>
    </row>
    <row r="178" spans="1:9" s="1" customFormat="1" x14ac:dyDescent="0.25">
      <c r="A178" s="26">
        <v>1206010004</v>
      </c>
      <c r="B178" s="10">
        <v>61301</v>
      </c>
      <c r="C178" s="8" t="s">
        <v>322</v>
      </c>
      <c r="D178" s="9"/>
      <c r="E178" s="20"/>
      <c r="G178"/>
      <c r="H178"/>
      <c r="I178"/>
    </row>
    <row r="179" spans="1:9" s="1" customFormat="1" x14ac:dyDescent="0.25">
      <c r="A179" s="26">
        <v>1206010007</v>
      </c>
      <c r="B179" s="10">
        <v>61401</v>
      </c>
      <c r="C179" s="8" t="s">
        <v>323</v>
      </c>
      <c r="D179" s="9"/>
      <c r="E179" s="20"/>
      <c r="G179"/>
      <c r="H179"/>
      <c r="I179"/>
    </row>
    <row r="180" spans="1:9" s="1" customFormat="1" ht="30" x14ac:dyDescent="0.25">
      <c r="A180" s="26">
        <v>1206010001</v>
      </c>
      <c r="B180" s="10">
        <v>61901</v>
      </c>
      <c r="C180" s="8" t="s">
        <v>324</v>
      </c>
      <c r="D180" s="9"/>
      <c r="E180" s="20"/>
      <c r="G180"/>
      <c r="H180"/>
      <c r="I180"/>
    </row>
    <row r="181" spans="1:9" s="1" customFormat="1" x14ac:dyDescent="0.25">
      <c r="A181" s="26">
        <v>1206010002</v>
      </c>
      <c r="B181" s="10">
        <v>62101</v>
      </c>
      <c r="C181" s="8" t="s">
        <v>325</v>
      </c>
      <c r="D181" s="53">
        <v>55460</v>
      </c>
      <c r="E181" s="20"/>
      <c r="G181"/>
      <c r="H181"/>
      <c r="I181"/>
    </row>
    <row r="182" spans="1:9" s="1" customFormat="1" x14ac:dyDescent="0.25">
      <c r="A182" s="26">
        <v>1206010002</v>
      </c>
      <c r="B182" s="10">
        <v>62301</v>
      </c>
      <c r="C182" s="8" t="s">
        <v>326</v>
      </c>
      <c r="D182" s="9"/>
      <c r="E182" s="20"/>
      <c r="G182"/>
      <c r="H182"/>
      <c r="I182"/>
    </row>
    <row r="183" spans="1:9" s="1" customFormat="1" x14ac:dyDescent="0.25">
      <c r="A183" s="26">
        <v>1206010003</v>
      </c>
      <c r="B183" s="10">
        <v>64101</v>
      </c>
      <c r="C183" s="8" t="s">
        <v>329</v>
      </c>
      <c r="D183" s="9"/>
      <c r="E183" s="20"/>
      <c r="G183"/>
      <c r="H183"/>
      <c r="I183"/>
    </row>
    <row r="184" spans="1:9" s="1" customFormat="1" x14ac:dyDescent="0.25">
      <c r="A184" s="26"/>
      <c r="B184" s="51">
        <v>64701</v>
      </c>
      <c r="C184" s="52" t="s">
        <v>331</v>
      </c>
      <c r="D184" s="53">
        <v>20549.97</v>
      </c>
      <c r="E184" s="20"/>
      <c r="G184"/>
      <c r="H184"/>
      <c r="I184"/>
    </row>
    <row r="185" spans="1:9" s="1" customFormat="1" x14ac:dyDescent="0.25">
      <c r="A185" s="26">
        <v>1206010003</v>
      </c>
      <c r="B185" s="51">
        <v>64801</v>
      </c>
      <c r="C185" s="52" t="s">
        <v>332</v>
      </c>
      <c r="D185" s="53"/>
      <c r="E185" s="20"/>
      <c r="G185"/>
      <c r="H185"/>
      <c r="I185"/>
    </row>
    <row r="186" spans="1:9" s="1" customFormat="1" x14ac:dyDescent="0.25">
      <c r="A186" s="26">
        <v>1206010001</v>
      </c>
      <c r="B186" s="10">
        <v>65201</v>
      </c>
      <c r="C186" s="8" t="s">
        <v>333</v>
      </c>
      <c r="D186" s="9"/>
      <c r="E186" s="20"/>
      <c r="G186"/>
      <c r="H186"/>
      <c r="I186"/>
    </row>
    <row r="187" spans="1:9" s="1" customFormat="1" x14ac:dyDescent="0.25">
      <c r="A187" s="26">
        <v>1206010001</v>
      </c>
      <c r="B187" s="10">
        <v>65401</v>
      </c>
      <c r="C187" s="8" t="s">
        <v>334</v>
      </c>
      <c r="D187" s="9"/>
      <c r="E187" s="20"/>
      <c r="G187"/>
      <c r="H187"/>
      <c r="I187"/>
    </row>
    <row r="188" spans="1:9" s="1" customFormat="1" x14ac:dyDescent="0.25">
      <c r="A188" s="26">
        <v>1206010006</v>
      </c>
      <c r="B188" s="10">
        <v>65501</v>
      </c>
      <c r="C188" s="8" t="s">
        <v>335</v>
      </c>
      <c r="D188" s="9"/>
      <c r="E188" s="20"/>
      <c r="G188"/>
      <c r="H188"/>
      <c r="I188"/>
    </row>
    <row r="189" spans="1:9" s="1" customFormat="1" x14ac:dyDescent="0.25">
      <c r="A189" s="26">
        <v>1206010001</v>
      </c>
      <c r="B189" s="10">
        <v>65601</v>
      </c>
      <c r="C189" s="8" t="s">
        <v>336</v>
      </c>
      <c r="D189" s="9"/>
      <c r="E189" s="20"/>
      <c r="G189"/>
      <c r="H189"/>
      <c r="I189"/>
    </row>
    <row r="190" spans="1:9" s="1" customFormat="1" x14ac:dyDescent="0.25">
      <c r="A190" s="26">
        <v>1206010008</v>
      </c>
      <c r="B190" s="10">
        <v>65701</v>
      </c>
      <c r="C190" s="8" t="s">
        <v>337</v>
      </c>
      <c r="D190" s="9"/>
      <c r="E190" s="20"/>
      <c r="G190"/>
      <c r="H190"/>
      <c r="I190"/>
    </row>
    <row r="191" spans="1:9" s="1" customFormat="1" x14ac:dyDescent="0.25">
      <c r="A191" s="26">
        <v>1206010001</v>
      </c>
      <c r="B191" s="10">
        <v>65801</v>
      </c>
      <c r="C191" s="8" t="s">
        <v>338</v>
      </c>
      <c r="D191" s="9"/>
      <c r="E191" s="20"/>
      <c r="G191"/>
      <c r="H191"/>
      <c r="I191"/>
    </row>
    <row r="192" spans="1:9" s="1" customFormat="1" x14ac:dyDescent="0.25">
      <c r="A192" s="26">
        <v>1206980001</v>
      </c>
      <c r="B192" s="10">
        <v>66201</v>
      </c>
      <c r="C192" s="8" t="s">
        <v>339</v>
      </c>
      <c r="D192" s="9"/>
      <c r="E192" s="20"/>
      <c r="G192"/>
      <c r="H192"/>
      <c r="I192"/>
    </row>
    <row r="193" spans="1:9" s="1" customFormat="1" x14ac:dyDescent="0.25">
      <c r="A193" s="26">
        <v>1208010003</v>
      </c>
      <c r="B193" s="10">
        <v>68301</v>
      </c>
      <c r="C193" s="8" t="s">
        <v>340</v>
      </c>
      <c r="D193" s="9"/>
      <c r="E193" s="20"/>
      <c r="G193"/>
      <c r="H193"/>
      <c r="I193"/>
    </row>
    <row r="194" spans="1:9" s="1" customFormat="1" x14ac:dyDescent="0.25">
      <c r="A194" s="26">
        <v>1206020002</v>
      </c>
      <c r="B194" s="10">
        <v>69201</v>
      </c>
      <c r="C194" s="8" t="s">
        <v>341</v>
      </c>
      <c r="D194" s="9"/>
      <c r="E194" s="20"/>
      <c r="G194"/>
      <c r="H194"/>
      <c r="I194"/>
    </row>
    <row r="195" spans="1:9" s="1" customFormat="1" x14ac:dyDescent="0.25">
      <c r="A195" s="26">
        <v>1206980004</v>
      </c>
      <c r="B195" s="10">
        <v>69502</v>
      </c>
      <c r="C195" s="8" t="s">
        <v>342</v>
      </c>
      <c r="D195" s="9"/>
      <c r="E195" s="20"/>
      <c r="G195"/>
      <c r="H195"/>
      <c r="I195"/>
    </row>
    <row r="196" spans="1:9" s="1" customFormat="1" x14ac:dyDescent="0.25">
      <c r="A196" s="27"/>
      <c r="B196" s="11">
        <v>7</v>
      </c>
      <c r="C196" s="5" t="s">
        <v>343</v>
      </c>
      <c r="D196" s="12">
        <f>SUM(D197:D198)</f>
        <v>0</v>
      </c>
      <c r="E196" s="25"/>
      <c r="G196"/>
      <c r="H196"/>
      <c r="I196"/>
    </row>
    <row r="197" spans="1:9" s="1" customFormat="1" ht="30" x14ac:dyDescent="0.25">
      <c r="A197" s="27" t="s">
        <v>344</v>
      </c>
      <c r="B197" s="10">
        <v>71201</v>
      </c>
      <c r="C197" s="8" t="s">
        <v>345</v>
      </c>
      <c r="D197" s="24"/>
      <c r="E197" s="25"/>
      <c r="G197"/>
      <c r="H197"/>
      <c r="I197"/>
    </row>
    <row r="198" spans="1:9" s="1" customFormat="1" x14ac:dyDescent="0.25">
      <c r="A198" s="27" t="s">
        <v>346</v>
      </c>
      <c r="B198" s="10">
        <v>71501</v>
      </c>
      <c r="C198" s="8" t="s">
        <v>347</v>
      </c>
      <c r="D198" s="24"/>
      <c r="E198" s="25"/>
      <c r="G198"/>
      <c r="H198"/>
      <c r="I198"/>
    </row>
    <row r="199" spans="1:9" s="1" customFormat="1" x14ac:dyDescent="0.25">
      <c r="A199" s="28"/>
      <c r="B199" s="11"/>
      <c r="C199" s="13"/>
      <c r="D199" s="6">
        <f>+D176+D196</f>
        <v>76009.97</v>
      </c>
      <c r="E199" s="19"/>
      <c r="G199"/>
      <c r="H199"/>
      <c r="I199"/>
    </row>
    <row r="200" spans="1:9" s="1" customFormat="1" x14ac:dyDescent="0.25">
      <c r="A200"/>
      <c r="B200"/>
      <c r="C200" s="2" t="s">
        <v>348</v>
      </c>
      <c r="E200" s="21"/>
      <c r="G200"/>
      <c r="H200"/>
      <c r="I200"/>
    </row>
    <row r="201" spans="1:9" s="1" customFormat="1" x14ac:dyDescent="0.25">
      <c r="A201"/>
      <c r="B201"/>
      <c r="C201" s="2" t="s">
        <v>349</v>
      </c>
      <c r="E201" s="21"/>
      <c r="G201"/>
      <c r="H201"/>
      <c r="I201"/>
    </row>
    <row r="202" spans="1:9" s="1" customFormat="1" x14ac:dyDescent="0.25">
      <c r="A202"/>
      <c r="B202"/>
      <c r="C202"/>
      <c r="D202"/>
      <c r="E202" s="22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ColWidth="11.42578125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47" t="s">
        <v>406</v>
      </c>
      <c r="B4" s="47" t="s">
        <v>407</v>
      </c>
      <c r="C4" s="47" t="s">
        <v>408</v>
      </c>
      <c r="D4" s="48" t="s">
        <v>409</v>
      </c>
      <c r="E4" s="47" t="s">
        <v>410</v>
      </c>
      <c r="F4" s="47" t="s">
        <v>411</v>
      </c>
      <c r="G4" s="47" t="s">
        <v>412</v>
      </c>
    </row>
    <row r="5" spans="1:7" ht="62.25" customHeight="1" x14ac:dyDescent="0.25">
      <c r="A5" s="26">
        <v>2087</v>
      </c>
      <c r="B5" s="8" t="s">
        <v>413</v>
      </c>
      <c r="C5" s="45" t="s">
        <v>414</v>
      </c>
      <c r="D5" s="8" t="s">
        <v>415</v>
      </c>
      <c r="E5" s="10" t="s">
        <v>416</v>
      </c>
      <c r="F5" s="10" t="s">
        <v>417</v>
      </c>
      <c r="G5" s="46">
        <v>270652.33</v>
      </c>
    </row>
    <row r="8" spans="1:7" x14ac:dyDescent="0.25">
      <c r="A8" t="s">
        <v>418</v>
      </c>
    </row>
    <row r="9" spans="1:7" x14ac:dyDescent="0.25">
      <c r="A9" t="s">
        <v>419</v>
      </c>
    </row>
    <row r="10" spans="1:7" x14ac:dyDescent="0.25">
      <c r="A10" t="s">
        <v>420</v>
      </c>
    </row>
    <row r="11" spans="1:7" x14ac:dyDescent="0.25">
      <c r="A11" t="s">
        <v>421</v>
      </c>
    </row>
    <row r="12" spans="1:7" x14ac:dyDescent="0.25">
      <c r="A12" t="s">
        <v>422</v>
      </c>
    </row>
    <row r="13" spans="1:7" x14ac:dyDescent="0.25">
      <c r="A13" t="s">
        <v>423</v>
      </c>
    </row>
    <row r="14" spans="1:7" x14ac:dyDescent="0.25">
      <c r="A14" t="s">
        <v>424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0" zoomScaleNormal="100" workbookViewId="0">
      <selection activeCell="Z37" sqref="Z3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4</v>
      </c>
    </row>
    <row r="6" spans="1:27" x14ac:dyDescent="0.25">
      <c r="A6" t="s">
        <v>350</v>
      </c>
    </row>
    <row r="7" spans="1:27" x14ac:dyDescent="0.25">
      <c r="A7" t="s">
        <v>6</v>
      </c>
    </row>
    <row r="8" spans="1:27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40" t="s">
        <v>7</v>
      </c>
    </row>
    <row r="9" spans="1:27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22</v>
      </c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8">
        <v>188094454.55000001</v>
      </c>
    </row>
    <row r="12" spans="1:27" x14ac:dyDescent="0.25">
      <c r="A12" t="s">
        <v>24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367723277.89999998</v>
      </c>
    </row>
    <row r="13" spans="1:27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8997398.7300000004</v>
      </c>
    </row>
    <row r="14" spans="1:27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x14ac:dyDescent="0.25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42">
        <f>SUM(Z11:Z14)</f>
        <v>564815131.18000007</v>
      </c>
    </row>
    <row r="17" spans="1:27" x14ac:dyDescent="0.25">
      <c r="A17" t="s">
        <v>28</v>
      </c>
    </row>
    <row r="18" spans="1:27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498997824.44999999</v>
      </c>
    </row>
    <row r="19" spans="1:27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7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-158132795.69</v>
      </c>
      <c r="AA20" s="61"/>
    </row>
    <row r="21" spans="1:27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40055818.340000004</v>
      </c>
      <c r="AA21" s="61"/>
    </row>
    <row r="22" spans="1:27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445602394.88</v>
      </c>
    </row>
    <row r="23" spans="1:27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 t="shared" si="7"/>
        <v>1010417526.0600001</v>
      </c>
    </row>
    <row r="24" spans="1:27" ht="15.75" thickTop="1" x14ac:dyDescent="0.25"/>
    <row r="25" spans="1:27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22</v>
      </c>
    </row>
    <row r="27" spans="1:27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7" x14ac:dyDescent="0.25">
      <c r="A28" t="s">
        <v>37</v>
      </c>
    </row>
    <row r="29" spans="1:27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11198699.710000001</v>
      </c>
    </row>
    <row r="30" spans="1:27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11198699.710000001</v>
      </c>
    </row>
    <row r="32" spans="1:27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11198699.710000001</v>
      </c>
      <c r="AD33" s="37"/>
      <c r="AE33" s="1"/>
    </row>
    <row r="35" spans="1:31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</f>
        <v>-329831588.86000001</v>
      </c>
      <c r="AD39" s="37"/>
    </row>
    <row r="40" spans="1:31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999218826.34999979</v>
      </c>
      <c r="AE40" s="37"/>
    </row>
    <row r="41" spans="1:31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Y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>+Z33+Z40</f>
        <v>1010417526.0599998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A44" s="34" t="s">
        <v>50</v>
      </c>
      <c r="G44" s="1">
        <f>+G41-G23</f>
        <v>0</v>
      </c>
    </row>
    <row r="45" spans="1:31" x14ac:dyDescent="0.25">
      <c r="A45" t="s">
        <v>51</v>
      </c>
    </row>
    <row r="48" spans="1:31" x14ac:dyDescent="0.25">
      <c r="A48" t="s">
        <v>52</v>
      </c>
    </row>
    <row r="49" spans="1:1" x14ac:dyDescent="0.25">
      <c r="A49" s="34" t="s">
        <v>53</v>
      </c>
    </row>
    <row r="50" spans="1:1" x14ac:dyDescent="0.25">
      <c r="A50" t="s">
        <v>54</v>
      </c>
    </row>
    <row r="261" spans="27:27" x14ac:dyDescent="0.25">
      <c r="AA261" t="s">
        <v>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zoomScale="120" zoomScaleNormal="120" zoomScaleSheetLayoutView="100" workbookViewId="0">
      <selection activeCell="D10" sqref="D10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351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>
        <f>SUM(D10:D14)</f>
        <v>902513665.79999995</v>
      </c>
      <c r="E9" s="71">
        <f>+E15</f>
        <v>902513665.79999995</v>
      </c>
    </row>
    <row r="10" spans="1:7" x14ac:dyDescent="0.25">
      <c r="A10" s="10" t="s">
        <v>64</v>
      </c>
      <c r="B10" s="7" t="s">
        <v>65</v>
      </c>
      <c r="C10" s="8" t="s">
        <v>66</v>
      </c>
      <c r="D10" s="53">
        <v>367723277.89999998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528395466.38999999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6064229.6500000004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53">
        <v>330691.86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" t="s">
        <v>77</v>
      </c>
      <c r="D15" s="9"/>
      <c r="E15" s="9">
        <f>SUM(D10:D14)</f>
        <v>902513665.79999995</v>
      </c>
    </row>
    <row r="16" spans="1:7" x14ac:dyDescent="0.25">
      <c r="A16" s="51"/>
      <c r="B16" s="51"/>
      <c r="C16" s="63" t="s">
        <v>78</v>
      </c>
      <c r="D16" s="64">
        <f>+D18+D22+D23+D33+D40+D41+D42+D44+D45+D47+D48+D49+D50+D51+D53+D54+D52+D58+D64+D67+D70+D77+D82+D84+D85+D88+D91+D97+D100+D103+D110+D116+D142+D147+D184+D188+D202</f>
        <v>78422237.679999992</v>
      </c>
      <c r="E16" s="64">
        <f>+D16</f>
        <v>78422237.679999992</v>
      </c>
    </row>
    <row r="17" spans="1:9" x14ac:dyDescent="0.25">
      <c r="A17" s="51"/>
      <c r="B17" s="51">
        <v>1</v>
      </c>
      <c r="C17" s="63" t="s">
        <v>79</v>
      </c>
      <c r="D17" s="57">
        <f>SUM(D18:D42)</f>
        <v>31693384.159999996</v>
      </c>
      <c r="E17" s="57" t="s">
        <v>3</v>
      </c>
    </row>
    <row r="18" spans="1:9" x14ac:dyDescent="0.25">
      <c r="A18" s="51" t="s">
        <v>80</v>
      </c>
      <c r="B18" s="51">
        <v>11101</v>
      </c>
      <c r="C18" s="52" t="s">
        <v>81</v>
      </c>
      <c r="D18" s="53">
        <f>950000+19170586.2</f>
        <v>20120586.199999999</v>
      </c>
      <c r="E18" s="53"/>
    </row>
    <row r="19" spans="1:9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30" x14ac:dyDescent="0.25">
      <c r="A22" s="10" t="s">
        <v>88</v>
      </c>
      <c r="B22" s="10">
        <v>11205</v>
      </c>
      <c r="C22" s="8" t="s">
        <v>89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90</v>
      </c>
      <c r="D23" s="65">
        <v>6093000</v>
      </c>
      <c r="E23" s="9"/>
    </row>
    <row r="24" spans="1:9" ht="30" x14ac:dyDescent="0.25">
      <c r="A24" s="10"/>
      <c r="B24" s="10">
        <v>11210</v>
      </c>
      <c r="C24" s="8" t="s">
        <v>91</v>
      </c>
      <c r="D24" s="53"/>
      <c r="E24" s="53"/>
    </row>
    <row r="25" spans="1:9" x14ac:dyDescent="0.25">
      <c r="A25" s="10"/>
      <c r="B25" s="10">
        <v>11211</v>
      </c>
      <c r="C25" s="8" t="s">
        <v>92</v>
      </c>
      <c r="D25" s="53"/>
      <c r="E25" s="53"/>
    </row>
    <row r="26" spans="1:9" x14ac:dyDescent="0.25">
      <c r="A26" s="10" t="s">
        <v>93</v>
      </c>
      <c r="B26" s="10">
        <v>11401</v>
      </c>
      <c r="C26" s="8" t="s">
        <v>94</v>
      </c>
      <c r="D26" s="53"/>
      <c r="E26" s="53"/>
    </row>
    <row r="27" spans="1:9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30" x14ac:dyDescent="0.25">
      <c r="A28" s="10"/>
      <c r="B28" s="10">
        <v>11503</v>
      </c>
      <c r="C28" s="8" t="s">
        <v>97</v>
      </c>
      <c r="D28" s="53"/>
      <c r="E28" s="53"/>
    </row>
    <row r="29" spans="1:9" x14ac:dyDescent="0.25">
      <c r="A29" s="10"/>
      <c r="B29" s="10">
        <v>11504</v>
      </c>
      <c r="C29" s="8" t="s">
        <v>98</v>
      </c>
      <c r="D29" s="53"/>
      <c r="E29" s="53"/>
    </row>
    <row r="30" spans="1:9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100</v>
      </c>
      <c r="D31" s="53"/>
      <c r="E31" s="53"/>
    </row>
    <row r="32" spans="1:9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5" x14ac:dyDescent="0.25">
      <c r="A33" s="10" t="s">
        <v>103</v>
      </c>
      <c r="B33" s="10">
        <v>12205</v>
      </c>
      <c r="C33" s="8" t="s">
        <v>104</v>
      </c>
      <c r="D33" s="53">
        <v>1460000</v>
      </c>
      <c r="E33" s="53"/>
    </row>
    <row r="34" spans="1:5" x14ac:dyDescent="0.25">
      <c r="A34" s="10" t="s">
        <v>105</v>
      </c>
      <c r="B34" s="10">
        <v>12206</v>
      </c>
      <c r="C34" s="8" t="s">
        <v>106</v>
      </c>
      <c r="D34" s="53"/>
      <c r="E34" s="9"/>
    </row>
    <row r="35" spans="1:5" x14ac:dyDescent="0.25">
      <c r="A35" s="10" t="s">
        <v>107</v>
      </c>
      <c r="B35" s="10">
        <v>12209</v>
      </c>
      <c r="C35" s="8" t="s">
        <v>108</v>
      </c>
      <c r="D35" s="53"/>
      <c r="E35" s="9"/>
    </row>
    <row r="36" spans="1:5" x14ac:dyDescent="0.25">
      <c r="A36" s="10"/>
      <c r="B36" s="10">
        <v>12210</v>
      </c>
      <c r="C36" s="8" t="s">
        <v>109</v>
      </c>
      <c r="D36" s="53"/>
      <c r="E36" s="9"/>
    </row>
    <row r="37" spans="1:5" ht="30" x14ac:dyDescent="0.25">
      <c r="A37" s="10"/>
      <c r="B37" s="10">
        <v>12215</v>
      </c>
      <c r="C37" s="8" t="s">
        <v>100</v>
      </c>
      <c r="D37" s="53"/>
      <c r="E37" s="9"/>
    </row>
    <row r="38" spans="1:5" x14ac:dyDescent="0.25">
      <c r="A38" s="10"/>
      <c r="B38" s="10">
        <v>13201</v>
      </c>
      <c r="C38" s="8" t="s">
        <v>110</v>
      </c>
      <c r="D38" s="53"/>
      <c r="E38" s="9"/>
    </row>
    <row r="39" spans="1:5" x14ac:dyDescent="0.25">
      <c r="A39" s="10" t="s">
        <v>111</v>
      </c>
      <c r="B39" s="10">
        <v>13101</v>
      </c>
      <c r="C39" s="8" t="s">
        <v>112</v>
      </c>
      <c r="D39" s="53"/>
      <c r="E39" s="9"/>
    </row>
    <row r="40" spans="1:5" x14ac:dyDescent="0.25">
      <c r="A40" s="10" t="s">
        <v>113</v>
      </c>
      <c r="B40" s="10">
        <v>15101</v>
      </c>
      <c r="C40" s="8" t="s">
        <v>114</v>
      </c>
      <c r="D40" s="54">
        <f>67355+1786907.68</f>
        <v>1854262.68</v>
      </c>
      <c r="E40" s="53"/>
    </row>
    <row r="41" spans="1:5" x14ac:dyDescent="0.25">
      <c r="A41" s="10" t="s">
        <v>115</v>
      </c>
      <c r="B41" s="10">
        <v>15201</v>
      </c>
      <c r="C41" s="8" t="s">
        <v>116</v>
      </c>
      <c r="D41" s="53">
        <f>67450+1796696.63</f>
        <v>1864146.63</v>
      </c>
      <c r="E41" s="53"/>
    </row>
    <row r="42" spans="1:5" ht="30" x14ac:dyDescent="0.25">
      <c r="A42" s="10"/>
      <c r="B42" s="10">
        <v>15301</v>
      </c>
      <c r="C42" s="8" t="s">
        <v>117</v>
      </c>
      <c r="D42" s="53">
        <f>10450+248938.65</f>
        <v>259388.65</v>
      </c>
      <c r="E42" s="53"/>
    </row>
    <row r="43" spans="1:5" x14ac:dyDescent="0.25">
      <c r="A43" s="51"/>
      <c r="B43" s="51">
        <v>2</v>
      </c>
      <c r="C43" s="63" t="s">
        <v>118</v>
      </c>
      <c r="D43" s="57"/>
      <c r="E43" s="57"/>
    </row>
    <row r="44" spans="1:5" x14ac:dyDescent="0.25">
      <c r="A44" s="10" t="s">
        <v>119</v>
      </c>
      <c r="B44" s="10">
        <v>21201</v>
      </c>
      <c r="C44" s="8" t="s">
        <v>120</v>
      </c>
      <c r="D44" s="54">
        <v>19288.66</v>
      </c>
      <c r="E44" s="53"/>
    </row>
    <row r="45" spans="1:5" x14ac:dyDescent="0.25">
      <c r="A45" s="10" t="s">
        <v>121</v>
      </c>
      <c r="B45" s="10">
        <v>21301</v>
      </c>
      <c r="C45" s="8" t="s">
        <v>122</v>
      </c>
      <c r="D45" s="53">
        <v>48777.09</v>
      </c>
      <c r="E45" s="53"/>
    </row>
    <row r="46" spans="1:5" x14ac:dyDescent="0.25">
      <c r="A46" s="10" t="s">
        <v>123</v>
      </c>
      <c r="B46" s="10">
        <v>21401</v>
      </c>
      <c r="C46" s="8" t="s">
        <v>124</v>
      </c>
      <c r="D46" s="53"/>
      <c r="E46" s="53"/>
    </row>
    <row r="47" spans="1:5" x14ac:dyDescent="0.25">
      <c r="A47" s="10" t="s">
        <v>125</v>
      </c>
      <c r="B47" s="10">
        <v>21501</v>
      </c>
      <c r="C47" s="8" t="s">
        <v>126</v>
      </c>
      <c r="D47" s="53">
        <v>1408125.51</v>
      </c>
      <c r="E47" s="53"/>
    </row>
    <row r="48" spans="1:5" x14ac:dyDescent="0.25">
      <c r="A48" s="10" t="s">
        <v>127</v>
      </c>
      <c r="B48" s="10">
        <v>21601</v>
      </c>
      <c r="C48" s="8" t="s">
        <v>128</v>
      </c>
      <c r="D48" s="53">
        <v>654293.94999999995</v>
      </c>
      <c r="E48" s="53"/>
    </row>
    <row r="49" spans="1:6" x14ac:dyDescent="0.25">
      <c r="A49" s="10" t="s">
        <v>129</v>
      </c>
      <c r="B49" s="10">
        <v>21701</v>
      </c>
      <c r="C49" s="8" t="s">
        <v>130</v>
      </c>
      <c r="D49" s="53">
        <v>6390</v>
      </c>
      <c r="E49" s="53"/>
      <c r="F49" s="60"/>
    </row>
    <row r="50" spans="1:6" x14ac:dyDescent="0.25">
      <c r="A50" s="10" t="s">
        <v>131</v>
      </c>
      <c r="B50" s="10">
        <v>21801</v>
      </c>
      <c r="C50" s="8" t="s">
        <v>132</v>
      </c>
      <c r="D50" s="53">
        <v>8544</v>
      </c>
      <c r="E50" s="53"/>
      <c r="F50" s="60"/>
    </row>
    <row r="51" spans="1:6" x14ac:dyDescent="0.25">
      <c r="A51" s="10" t="s">
        <v>133</v>
      </c>
      <c r="B51" s="10">
        <v>22101</v>
      </c>
      <c r="C51" s="8" t="s">
        <v>134</v>
      </c>
      <c r="D51" s="53">
        <v>488754.68</v>
      </c>
      <c r="E51" s="53"/>
      <c r="F51" s="60"/>
    </row>
    <row r="52" spans="1:6" x14ac:dyDescent="0.25">
      <c r="A52" s="10" t="s">
        <v>135</v>
      </c>
      <c r="B52" s="10">
        <v>22201</v>
      </c>
      <c r="C52" s="8" t="s">
        <v>136</v>
      </c>
      <c r="D52" s="53"/>
      <c r="E52" s="53"/>
      <c r="F52" s="60"/>
    </row>
    <row r="53" spans="1:6" x14ac:dyDescent="0.25">
      <c r="A53" s="10" t="s">
        <v>137</v>
      </c>
      <c r="B53" s="10">
        <v>23101</v>
      </c>
      <c r="C53" s="8" t="s">
        <v>138</v>
      </c>
      <c r="D53" s="53">
        <v>273230</v>
      </c>
      <c r="E53" s="53"/>
      <c r="F53" s="60"/>
    </row>
    <row r="54" spans="1:6" x14ac:dyDescent="0.25">
      <c r="A54" s="10" t="s">
        <v>139</v>
      </c>
      <c r="B54" s="10">
        <v>23201</v>
      </c>
      <c r="C54" s="8" t="s">
        <v>140</v>
      </c>
      <c r="D54" s="53">
        <v>28000</v>
      </c>
      <c r="E54" s="53"/>
    </row>
    <row r="55" spans="1:6" x14ac:dyDescent="0.25">
      <c r="A55" s="10" t="s">
        <v>141</v>
      </c>
      <c r="B55" s="10">
        <v>24101</v>
      </c>
      <c r="C55" s="8" t="s">
        <v>142</v>
      </c>
      <c r="D55" s="53"/>
      <c r="E55" s="53"/>
    </row>
    <row r="56" spans="1:6" x14ac:dyDescent="0.25">
      <c r="A56" s="10" t="s">
        <v>143</v>
      </c>
      <c r="B56" s="10">
        <v>24201</v>
      </c>
      <c r="C56" s="8" t="s">
        <v>144</v>
      </c>
      <c r="D56" s="53"/>
      <c r="E56" s="53"/>
    </row>
    <row r="57" spans="1:6" x14ac:dyDescent="0.25">
      <c r="A57" s="10" t="s">
        <v>145</v>
      </c>
      <c r="B57" s="10">
        <v>24401</v>
      </c>
      <c r="C57" s="8" t="s">
        <v>146</v>
      </c>
      <c r="D57" s="53"/>
      <c r="E57" s="53"/>
    </row>
    <row r="58" spans="1:6" x14ac:dyDescent="0.25">
      <c r="A58" s="10" t="s">
        <v>147</v>
      </c>
      <c r="B58" s="10">
        <v>25101</v>
      </c>
      <c r="C58" s="8" t="s">
        <v>148</v>
      </c>
      <c r="D58" s="53">
        <v>569693.56999999995</v>
      </c>
      <c r="E58" s="53"/>
    </row>
    <row r="59" spans="1:6" x14ac:dyDescent="0.25">
      <c r="A59" s="10"/>
      <c r="B59" s="10">
        <v>25302</v>
      </c>
      <c r="C59" s="8" t="s">
        <v>149</v>
      </c>
      <c r="D59" s="53"/>
      <c r="E59" s="53"/>
    </row>
    <row r="60" spans="1:6" x14ac:dyDescent="0.25">
      <c r="A60" s="10"/>
      <c r="B60" s="10">
        <v>25303</v>
      </c>
      <c r="C60" s="8" t="s">
        <v>150</v>
      </c>
      <c r="D60" s="53"/>
      <c r="E60" s="53"/>
    </row>
    <row r="61" spans="1:6" ht="30" x14ac:dyDescent="0.25">
      <c r="A61" s="10"/>
      <c r="B61" s="10">
        <v>25304</v>
      </c>
      <c r="C61" s="8" t="s">
        <v>151</v>
      </c>
      <c r="D61" s="53"/>
      <c r="E61" s="53"/>
    </row>
    <row r="62" spans="1:6" ht="30" x14ac:dyDescent="0.25">
      <c r="A62" s="10" t="s">
        <v>152</v>
      </c>
      <c r="B62" s="10">
        <v>25401</v>
      </c>
      <c r="C62" s="8" t="s">
        <v>153</v>
      </c>
      <c r="D62" s="53"/>
      <c r="E62" s="53"/>
    </row>
    <row r="63" spans="1:6" x14ac:dyDescent="0.25">
      <c r="A63" s="10" t="s">
        <v>154</v>
      </c>
      <c r="B63" s="10">
        <v>25801</v>
      </c>
      <c r="C63" s="8" t="s">
        <v>155</v>
      </c>
      <c r="D63" s="53"/>
      <c r="E63" s="9"/>
    </row>
    <row r="64" spans="1:6" x14ac:dyDescent="0.25">
      <c r="A64" s="10"/>
      <c r="B64" s="10">
        <v>25901</v>
      </c>
      <c r="C64" s="8" t="s">
        <v>352</v>
      </c>
      <c r="D64" s="53">
        <v>1073928.1599999999</v>
      </c>
      <c r="E64" s="9"/>
    </row>
    <row r="65" spans="1:9" ht="30" x14ac:dyDescent="0.25">
      <c r="A65" s="10"/>
      <c r="B65" s="10">
        <v>26101</v>
      </c>
      <c r="C65" s="8" t="s">
        <v>156</v>
      </c>
      <c r="D65" s="53"/>
      <c r="E65" s="53"/>
    </row>
    <row r="66" spans="1:9" s="1" customFormat="1" x14ac:dyDescent="0.25">
      <c r="A66" s="10" t="s">
        <v>157</v>
      </c>
      <c r="B66" s="10">
        <v>26201</v>
      </c>
      <c r="C66" s="8" t="s">
        <v>158</v>
      </c>
      <c r="D66" s="53"/>
      <c r="E66" s="53"/>
      <c r="G66"/>
      <c r="H66"/>
      <c r="I66"/>
    </row>
    <row r="67" spans="1:9" s="1" customFormat="1" x14ac:dyDescent="0.25">
      <c r="A67" s="10" t="s">
        <v>159</v>
      </c>
      <c r="B67" s="10">
        <v>26301</v>
      </c>
      <c r="C67" s="8" t="s">
        <v>160</v>
      </c>
      <c r="D67" s="53">
        <v>1369799.12</v>
      </c>
      <c r="E67" s="53"/>
      <c r="G67"/>
      <c r="H67"/>
      <c r="I67"/>
    </row>
    <row r="68" spans="1:9" s="1" customFormat="1" x14ac:dyDescent="0.25">
      <c r="A68" s="10" t="s">
        <v>161</v>
      </c>
      <c r="B68" s="10">
        <v>27101</v>
      </c>
      <c r="C68" s="8" t="s">
        <v>162</v>
      </c>
      <c r="D68" s="53"/>
      <c r="E68" s="9"/>
      <c r="G68"/>
      <c r="H68"/>
      <c r="I68"/>
    </row>
    <row r="69" spans="1:9" s="1" customFormat="1" x14ac:dyDescent="0.25">
      <c r="A69" s="10" t="s">
        <v>163</v>
      </c>
      <c r="B69" s="10">
        <v>27102</v>
      </c>
      <c r="C69" s="8" t="s">
        <v>164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165</v>
      </c>
      <c r="D70" s="53">
        <v>740000</v>
      </c>
      <c r="E70" s="9"/>
      <c r="G70"/>
      <c r="H70"/>
      <c r="I70"/>
    </row>
    <row r="71" spans="1:9" s="1" customFormat="1" ht="30" x14ac:dyDescent="0.25">
      <c r="A71" s="10" t="s">
        <v>166</v>
      </c>
      <c r="B71" s="10">
        <v>27106</v>
      </c>
      <c r="C71" s="8" t="s">
        <v>167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168</v>
      </c>
      <c r="D72" s="53"/>
      <c r="E72" s="53"/>
      <c r="G72"/>
      <c r="H72"/>
      <c r="I72"/>
    </row>
    <row r="73" spans="1:9" s="1" customFormat="1" ht="30" x14ac:dyDescent="0.25">
      <c r="A73" s="10" t="s">
        <v>169</v>
      </c>
      <c r="B73" s="10">
        <v>27201</v>
      </c>
      <c r="C73" s="8" t="s">
        <v>170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171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172</v>
      </c>
      <c r="D75" s="53"/>
      <c r="E75" s="53"/>
      <c r="G75"/>
      <c r="H75"/>
      <c r="I75"/>
    </row>
    <row r="76" spans="1:9" s="1" customFormat="1" ht="30" x14ac:dyDescent="0.25">
      <c r="A76" s="10" t="s">
        <v>173</v>
      </c>
      <c r="B76" s="10">
        <v>27205</v>
      </c>
      <c r="C76" s="8" t="s">
        <v>174</v>
      </c>
      <c r="D76" s="53"/>
      <c r="E76" s="53"/>
      <c r="G76"/>
      <c r="H76"/>
      <c r="I76"/>
    </row>
    <row r="77" spans="1:9" s="1" customFormat="1" ht="30" x14ac:dyDescent="0.25">
      <c r="A77" s="10" t="s">
        <v>175</v>
      </c>
      <c r="B77" s="10">
        <v>27206</v>
      </c>
      <c r="C77" s="8" t="s">
        <v>176</v>
      </c>
      <c r="D77" s="53">
        <v>103209.61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177</v>
      </c>
      <c r="D78" s="53"/>
      <c r="E78" s="53"/>
      <c r="G78"/>
      <c r="H78"/>
      <c r="I78"/>
    </row>
    <row r="79" spans="1:9" s="1" customFormat="1" x14ac:dyDescent="0.25">
      <c r="A79" s="10" t="s">
        <v>178</v>
      </c>
      <c r="B79" s="10">
        <v>28201</v>
      </c>
      <c r="C79" s="8" t="s">
        <v>179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180</v>
      </c>
      <c r="D80" s="53"/>
      <c r="E80" s="53"/>
      <c r="G80"/>
      <c r="H80"/>
      <c r="I80"/>
    </row>
    <row r="81" spans="1:9" s="1" customFormat="1" x14ac:dyDescent="0.25">
      <c r="A81" s="10" t="s">
        <v>181</v>
      </c>
      <c r="B81" s="10">
        <v>28401</v>
      </c>
      <c r="C81" s="8" t="s">
        <v>182</v>
      </c>
      <c r="D81" s="53"/>
      <c r="E81" s="53"/>
      <c r="G81"/>
      <c r="H81"/>
      <c r="I81"/>
    </row>
    <row r="82" spans="1:9" s="1" customFormat="1" x14ac:dyDescent="0.25">
      <c r="A82" s="10" t="s">
        <v>183</v>
      </c>
      <c r="B82" s="10">
        <v>28501</v>
      </c>
      <c r="C82" s="8" t="s">
        <v>184</v>
      </c>
      <c r="D82" s="53">
        <v>66080</v>
      </c>
      <c r="E82" s="53"/>
      <c r="G82"/>
      <c r="H82"/>
      <c r="I82"/>
    </row>
    <row r="83" spans="1:9" s="1" customFormat="1" x14ac:dyDescent="0.25">
      <c r="A83" s="10" t="s">
        <v>185</v>
      </c>
      <c r="B83" s="10">
        <v>28502</v>
      </c>
      <c r="C83" s="8" t="s">
        <v>186</v>
      </c>
      <c r="D83" s="53"/>
      <c r="E83" s="53"/>
      <c r="G83"/>
      <c r="H83"/>
      <c r="I83"/>
    </row>
    <row r="84" spans="1:9" s="1" customFormat="1" x14ac:dyDescent="0.25">
      <c r="A84" s="10" t="s">
        <v>187</v>
      </c>
      <c r="B84" s="10">
        <v>28503</v>
      </c>
      <c r="C84" s="8" t="s">
        <v>188</v>
      </c>
      <c r="D84" s="53">
        <f>136486.66+160341.77</f>
        <v>296828.43</v>
      </c>
      <c r="E84" s="53"/>
      <c r="G84"/>
      <c r="H84"/>
      <c r="I84"/>
    </row>
    <row r="85" spans="1:9" s="1" customFormat="1" x14ac:dyDescent="0.25">
      <c r="A85" s="10" t="s">
        <v>189</v>
      </c>
      <c r="B85" s="10">
        <v>28601</v>
      </c>
      <c r="C85" s="8" t="s">
        <v>190</v>
      </c>
      <c r="D85" s="53">
        <v>861768.21</v>
      </c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191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192</v>
      </c>
      <c r="D87" s="53"/>
      <c r="E87" s="9"/>
      <c r="G87"/>
      <c r="H87"/>
      <c r="I87"/>
    </row>
    <row r="88" spans="1:9" s="1" customFormat="1" x14ac:dyDescent="0.25">
      <c r="A88" s="10"/>
      <c r="B88" s="10">
        <v>28702</v>
      </c>
      <c r="C88" s="8" t="s">
        <v>193</v>
      </c>
      <c r="D88" s="53">
        <v>117410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194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195</v>
      </c>
      <c r="D90" s="53"/>
      <c r="E90" s="53"/>
      <c r="G90"/>
      <c r="H90"/>
      <c r="I90"/>
    </row>
    <row r="91" spans="1:9" s="1" customFormat="1" x14ac:dyDescent="0.25">
      <c r="A91" s="10" t="s">
        <v>196</v>
      </c>
      <c r="B91" s="10">
        <v>28706</v>
      </c>
      <c r="C91" s="8" t="s">
        <v>197</v>
      </c>
      <c r="D91" s="53">
        <v>40000</v>
      </c>
      <c r="E91" s="53"/>
      <c r="G91"/>
      <c r="H91"/>
      <c r="I91"/>
    </row>
    <row r="92" spans="1:9" s="1" customFormat="1" x14ac:dyDescent="0.25">
      <c r="A92" s="10" t="s">
        <v>198</v>
      </c>
      <c r="B92" s="10">
        <v>28801</v>
      </c>
      <c r="C92" s="8" t="s">
        <v>199</v>
      </c>
      <c r="D92" s="53"/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200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200</v>
      </c>
      <c r="D94" s="53"/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200</v>
      </c>
      <c r="D95" s="53"/>
      <c r="E95" s="53"/>
      <c r="G95"/>
      <c r="H95"/>
      <c r="I95"/>
    </row>
    <row r="96" spans="1:9" s="1" customFormat="1" x14ac:dyDescent="0.25">
      <c r="A96" s="10"/>
      <c r="B96" s="10">
        <v>29101</v>
      </c>
      <c r="C96" s="8" t="s">
        <v>201</v>
      </c>
      <c r="D96" s="53"/>
      <c r="E96" s="53"/>
      <c r="G96"/>
      <c r="H96"/>
      <c r="I96"/>
    </row>
    <row r="97" spans="1:9" s="1" customFormat="1" x14ac:dyDescent="0.25">
      <c r="A97" s="10"/>
      <c r="B97" s="10">
        <v>29201</v>
      </c>
      <c r="C97" s="8" t="s">
        <v>202</v>
      </c>
      <c r="D97" s="53">
        <v>2442883.2000000002</v>
      </c>
      <c r="E97" s="53"/>
      <c r="G97"/>
      <c r="H97"/>
      <c r="I97"/>
    </row>
    <row r="98" spans="1:9" s="1" customFormat="1" x14ac:dyDescent="0.25">
      <c r="A98" s="51"/>
      <c r="B98" s="51">
        <v>3</v>
      </c>
      <c r="C98" s="63" t="s">
        <v>203</v>
      </c>
      <c r="D98" s="57"/>
      <c r="E98" s="57"/>
      <c r="G98"/>
      <c r="H98"/>
      <c r="I98"/>
    </row>
    <row r="99" spans="1:9" s="1" customFormat="1" x14ac:dyDescent="0.25">
      <c r="A99" s="10" t="s">
        <v>204</v>
      </c>
      <c r="B99" s="10">
        <v>31101</v>
      </c>
      <c r="C99" s="8" t="s">
        <v>205</v>
      </c>
      <c r="D99" s="53"/>
      <c r="E99" s="53"/>
      <c r="G99"/>
      <c r="H99"/>
      <c r="I99"/>
    </row>
    <row r="100" spans="1:9" s="1" customFormat="1" x14ac:dyDescent="0.25">
      <c r="A100" s="10" t="s">
        <v>206</v>
      </c>
      <c r="B100" s="10">
        <v>31303</v>
      </c>
      <c r="C100" s="8" t="s">
        <v>207</v>
      </c>
      <c r="D100" s="53">
        <v>33830</v>
      </c>
      <c r="E100" s="53"/>
      <c r="G100"/>
      <c r="H100"/>
      <c r="I100"/>
    </row>
    <row r="101" spans="1:9" s="1" customFormat="1" x14ac:dyDescent="0.25">
      <c r="A101" s="10" t="s">
        <v>208</v>
      </c>
      <c r="B101" s="10">
        <v>31401</v>
      </c>
      <c r="C101" s="8" t="s">
        <v>209</v>
      </c>
      <c r="D101" s="53"/>
      <c r="E101" s="53"/>
      <c r="G101"/>
      <c r="H101"/>
      <c r="I101"/>
    </row>
    <row r="102" spans="1:9" s="1" customFormat="1" x14ac:dyDescent="0.25">
      <c r="A102" s="10" t="s">
        <v>210</v>
      </c>
      <c r="B102" s="10">
        <v>32101</v>
      </c>
      <c r="C102" s="8" t="s">
        <v>211</v>
      </c>
      <c r="D102" s="53"/>
      <c r="E102" s="53"/>
      <c r="G102"/>
      <c r="H102"/>
      <c r="I102"/>
    </row>
    <row r="103" spans="1:9" s="1" customFormat="1" x14ac:dyDescent="0.25">
      <c r="A103" s="10" t="s">
        <v>212</v>
      </c>
      <c r="B103" s="10">
        <v>32201</v>
      </c>
      <c r="C103" s="8" t="s">
        <v>213</v>
      </c>
      <c r="D103" s="53">
        <v>156940</v>
      </c>
      <c r="E103" s="53"/>
      <c r="G103"/>
      <c r="H103"/>
      <c r="I103"/>
    </row>
    <row r="104" spans="1:9" s="1" customFormat="1" x14ac:dyDescent="0.25">
      <c r="A104" s="10" t="s">
        <v>214</v>
      </c>
      <c r="B104" s="10">
        <v>32301</v>
      </c>
      <c r="C104" s="8" t="s">
        <v>215</v>
      </c>
      <c r="D104" s="53"/>
      <c r="E104" s="53"/>
      <c r="G104"/>
      <c r="H104"/>
      <c r="I104"/>
    </row>
    <row r="105" spans="1:9" s="1" customFormat="1" x14ac:dyDescent="0.25">
      <c r="A105" s="10" t="s">
        <v>216</v>
      </c>
      <c r="B105" s="10">
        <v>32401</v>
      </c>
      <c r="C105" s="8" t="s">
        <v>217</v>
      </c>
      <c r="D105" s="53"/>
      <c r="E105" s="53"/>
      <c r="G105"/>
      <c r="H105"/>
      <c r="I105"/>
    </row>
    <row r="106" spans="1:9" s="1" customFormat="1" x14ac:dyDescent="0.25">
      <c r="A106" s="10" t="s">
        <v>218</v>
      </c>
      <c r="B106" s="10">
        <v>33101</v>
      </c>
      <c r="C106" s="8" t="s">
        <v>219</v>
      </c>
      <c r="D106" s="53"/>
      <c r="E106" s="53"/>
      <c r="G106"/>
      <c r="H106"/>
      <c r="I106"/>
    </row>
    <row r="107" spans="1:9" s="1" customFormat="1" x14ac:dyDescent="0.25">
      <c r="A107" s="10" t="s">
        <v>220</v>
      </c>
      <c r="B107" s="10">
        <v>33201</v>
      </c>
      <c r="C107" s="8" t="s">
        <v>221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33301</v>
      </c>
      <c r="C108" s="8" t="s">
        <v>223</v>
      </c>
      <c r="D108" s="53"/>
      <c r="E108" s="53"/>
      <c r="G108"/>
      <c r="H108"/>
      <c r="I108"/>
    </row>
    <row r="109" spans="1:9" s="1" customFormat="1" x14ac:dyDescent="0.25">
      <c r="A109" s="10" t="s">
        <v>224</v>
      </c>
      <c r="B109" s="10">
        <v>33401</v>
      </c>
      <c r="C109" s="8" t="s">
        <v>225</v>
      </c>
      <c r="D109" s="53"/>
      <c r="E109" s="53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227</v>
      </c>
      <c r="D110" s="53">
        <v>33400000</v>
      </c>
      <c r="E110" s="53"/>
      <c r="G110"/>
      <c r="H110"/>
      <c r="I110"/>
    </row>
    <row r="111" spans="1:9" s="1" customFormat="1" x14ac:dyDescent="0.25">
      <c r="A111" s="10" t="s">
        <v>228</v>
      </c>
      <c r="B111" s="10">
        <v>34101</v>
      </c>
      <c r="C111" s="8" t="s">
        <v>229</v>
      </c>
      <c r="D111" s="53"/>
      <c r="E111" s="53"/>
      <c r="G111"/>
      <c r="H111"/>
      <c r="I111"/>
    </row>
    <row r="112" spans="1:9" s="1" customFormat="1" x14ac:dyDescent="0.25">
      <c r="A112" s="10" t="s">
        <v>230</v>
      </c>
      <c r="B112" s="10">
        <v>35101</v>
      </c>
      <c r="C112" s="8" t="s">
        <v>231</v>
      </c>
      <c r="D112" s="53"/>
      <c r="E112" s="53"/>
      <c r="G112"/>
      <c r="H112"/>
      <c r="I112"/>
    </row>
    <row r="113" spans="1:9" s="1" customFormat="1" x14ac:dyDescent="0.25">
      <c r="A113" s="10" t="s">
        <v>232</v>
      </c>
      <c r="B113" s="10">
        <v>35201</v>
      </c>
      <c r="C113" s="8" t="s">
        <v>233</v>
      </c>
      <c r="D113" s="53"/>
      <c r="E113" s="53"/>
      <c r="G113"/>
      <c r="H113"/>
      <c r="I113"/>
    </row>
    <row r="114" spans="1:9" x14ac:dyDescent="0.25">
      <c r="A114" s="10" t="s">
        <v>234</v>
      </c>
      <c r="B114" s="10">
        <v>35301</v>
      </c>
      <c r="C114" s="8" t="s">
        <v>235</v>
      </c>
      <c r="D114" s="53"/>
      <c r="E114" s="53"/>
    </row>
    <row r="115" spans="1:9" x14ac:dyDescent="0.25">
      <c r="A115" s="10" t="s">
        <v>236</v>
      </c>
      <c r="B115" s="10">
        <v>35401</v>
      </c>
      <c r="C115" s="8" t="s">
        <v>237</v>
      </c>
      <c r="D115" s="53"/>
      <c r="E115" s="53"/>
    </row>
    <row r="116" spans="1:9" x14ac:dyDescent="0.25">
      <c r="A116" s="10" t="s">
        <v>238</v>
      </c>
      <c r="B116" s="10">
        <v>35501</v>
      </c>
      <c r="C116" s="8" t="s">
        <v>239</v>
      </c>
      <c r="D116" s="53">
        <v>15750</v>
      </c>
      <c r="E116" s="53"/>
    </row>
    <row r="117" spans="1:9" x14ac:dyDescent="0.25">
      <c r="A117" s="10" t="s">
        <v>240</v>
      </c>
      <c r="B117" s="10">
        <v>36101</v>
      </c>
      <c r="C117" s="8" t="s">
        <v>241</v>
      </c>
      <c r="D117" s="53"/>
      <c r="E117" s="53"/>
    </row>
    <row r="118" spans="1:9" x14ac:dyDescent="0.25">
      <c r="A118" s="10"/>
      <c r="B118" s="10">
        <v>36102</v>
      </c>
      <c r="C118" s="8" t="s">
        <v>242</v>
      </c>
      <c r="D118" s="53"/>
      <c r="E118" s="53"/>
    </row>
    <row r="119" spans="1:9" x14ac:dyDescent="0.25">
      <c r="A119" s="10" t="s">
        <v>243</v>
      </c>
      <c r="B119" s="10">
        <v>36104</v>
      </c>
      <c r="C119" s="8" t="s">
        <v>244</v>
      </c>
      <c r="D119" s="53"/>
      <c r="E119" s="53"/>
    </row>
    <row r="120" spans="1:9" x14ac:dyDescent="0.25">
      <c r="A120" s="10" t="s">
        <v>245</v>
      </c>
      <c r="B120" s="10">
        <v>36201</v>
      </c>
      <c r="C120" s="8" t="s">
        <v>246</v>
      </c>
      <c r="D120" s="53"/>
      <c r="E120" s="53"/>
    </row>
    <row r="121" spans="1:9" x14ac:dyDescent="0.25">
      <c r="A121" s="10" t="s">
        <v>247</v>
      </c>
      <c r="B121" s="10">
        <v>36202</v>
      </c>
      <c r="C121" s="8" t="s">
        <v>248</v>
      </c>
      <c r="D121" s="53"/>
      <c r="E121" s="53"/>
    </row>
    <row r="122" spans="1:9" x14ac:dyDescent="0.25">
      <c r="A122" s="10" t="s">
        <v>249</v>
      </c>
      <c r="B122" s="10">
        <v>36203</v>
      </c>
      <c r="C122" s="8" t="s">
        <v>250</v>
      </c>
      <c r="D122" s="53"/>
      <c r="E122" s="53"/>
    </row>
    <row r="123" spans="1:9" x14ac:dyDescent="0.25">
      <c r="A123" s="10" t="s">
        <v>251</v>
      </c>
      <c r="B123" s="10">
        <v>36301</v>
      </c>
      <c r="C123" s="8" t="s">
        <v>252</v>
      </c>
      <c r="D123" s="53"/>
      <c r="E123" s="53"/>
    </row>
    <row r="124" spans="1:9" x14ac:dyDescent="0.25">
      <c r="A124" s="10"/>
      <c r="B124" s="10">
        <v>36302</v>
      </c>
      <c r="C124" s="8" t="s">
        <v>248</v>
      </c>
      <c r="D124" s="53"/>
      <c r="E124" s="53"/>
    </row>
    <row r="125" spans="1:9" x14ac:dyDescent="0.25">
      <c r="A125" s="10" t="s">
        <v>253</v>
      </c>
      <c r="B125" s="10">
        <v>36303</v>
      </c>
      <c r="C125" s="8" t="s">
        <v>254</v>
      </c>
      <c r="D125" s="53"/>
      <c r="E125" s="53"/>
    </row>
    <row r="126" spans="1:9" x14ac:dyDescent="0.25">
      <c r="A126" s="10" t="s">
        <v>255</v>
      </c>
      <c r="B126" s="10">
        <v>36304</v>
      </c>
      <c r="C126" s="8" t="s">
        <v>256</v>
      </c>
      <c r="D126" s="53"/>
      <c r="E126" s="53"/>
    </row>
    <row r="127" spans="1:9" s="1" customFormat="1" x14ac:dyDescent="0.25">
      <c r="A127" s="10" t="s">
        <v>255</v>
      </c>
      <c r="B127" s="10">
        <v>36306</v>
      </c>
      <c r="C127" s="8" t="s">
        <v>257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36307</v>
      </c>
      <c r="C128" s="52" t="s">
        <v>258</v>
      </c>
      <c r="D128" s="53"/>
      <c r="E128" s="53"/>
      <c r="G128"/>
      <c r="H128"/>
      <c r="I128"/>
    </row>
    <row r="129" spans="1:9" s="1" customFormat="1" x14ac:dyDescent="0.25">
      <c r="A129" s="10"/>
      <c r="B129" s="51">
        <v>36401</v>
      </c>
      <c r="C129" s="52"/>
      <c r="D129" s="53"/>
      <c r="E129" s="53"/>
      <c r="G129"/>
      <c r="H129"/>
      <c r="I129"/>
    </row>
    <row r="130" spans="1:9" s="1" customFormat="1" x14ac:dyDescent="0.25">
      <c r="A130" s="10" t="s">
        <v>243</v>
      </c>
      <c r="B130" s="51">
        <v>36403</v>
      </c>
      <c r="C130" s="52" t="s">
        <v>259</v>
      </c>
      <c r="D130" s="53"/>
      <c r="E130" s="53"/>
      <c r="G130"/>
      <c r="H130"/>
      <c r="I130"/>
    </row>
    <row r="131" spans="1:9" s="1" customFormat="1" x14ac:dyDescent="0.25">
      <c r="A131" s="10" t="s">
        <v>260</v>
      </c>
      <c r="B131" s="51">
        <v>37101</v>
      </c>
      <c r="C131" s="52" t="s">
        <v>261</v>
      </c>
      <c r="D131" s="53"/>
      <c r="E131" s="53"/>
      <c r="G131"/>
      <c r="H131"/>
      <c r="I131"/>
    </row>
    <row r="132" spans="1:9" s="1" customFormat="1" x14ac:dyDescent="0.25">
      <c r="A132" s="10" t="s">
        <v>262</v>
      </c>
      <c r="B132" s="51">
        <v>37102</v>
      </c>
      <c r="C132" s="52" t="s">
        <v>263</v>
      </c>
      <c r="D132" s="53"/>
      <c r="E132" s="53"/>
      <c r="G132"/>
      <c r="H132"/>
      <c r="I132"/>
    </row>
    <row r="133" spans="1:9" s="1" customFormat="1" x14ac:dyDescent="0.25">
      <c r="A133" s="10" t="s">
        <v>264</v>
      </c>
      <c r="B133" s="51">
        <v>37104</v>
      </c>
      <c r="C133" s="52" t="s">
        <v>265</v>
      </c>
      <c r="D133" s="53"/>
      <c r="E133" s="53"/>
      <c r="G133"/>
      <c r="H133"/>
      <c r="I133"/>
    </row>
    <row r="134" spans="1:9" s="1" customFormat="1" x14ac:dyDescent="0.25">
      <c r="A134" s="10" t="s">
        <v>266</v>
      </c>
      <c r="B134" s="51">
        <v>37105</v>
      </c>
      <c r="C134" s="52" t="s">
        <v>267</v>
      </c>
      <c r="D134" s="53"/>
      <c r="E134" s="53"/>
      <c r="G134"/>
      <c r="H134"/>
      <c r="I134"/>
    </row>
    <row r="135" spans="1:9" s="1" customFormat="1" x14ac:dyDescent="0.25">
      <c r="A135" s="10" t="s">
        <v>268</v>
      </c>
      <c r="B135" s="51">
        <v>37106</v>
      </c>
      <c r="C135" s="52" t="s">
        <v>269</v>
      </c>
      <c r="D135" s="53"/>
      <c r="E135" s="53"/>
      <c r="G135"/>
      <c r="H135"/>
      <c r="I135"/>
    </row>
    <row r="136" spans="1:9" s="1" customFormat="1" x14ac:dyDescent="0.25">
      <c r="A136" s="10"/>
      <c r="B136" s="51">
        <v>37201</v>
      </c>
      <c r="C136" s="52" t="s">
        <v>270</v>
      </c>
      <c r="D136" s="53"/>
      <c r="E136" s="53"/>
      <c r="G136"/>
      <c r="H136"/>
      <c r="I136"/>
    </row>
    <row r="137" spans="1:9" s="1" customFormat="1" x14ac:dyDescent="0.25">
      <c r="A137" s="10" t="s">
        <v>271</v>
      </c>
      <c r="B137" s="10">
        <v>37203</v>
      </c>
      <c r="C137" s="8" t="s">
        <v>272</v>
      </c>
      <c r="D137" s="53"/>
      <c r="E137" s="53"/>
      <c r="G137"/>
      <c r="H137"/>
      <c r="I137"/>
    </row>
    <row r="138" spans="1:9" s="1" customFormat="1" x14ac:dyDescent="0.25">
      <c r="A138" s="10" t="s">
        <v>273</v>
      </c>
      <c r="B138" s="10">
        <v>37205</v>
      </c>
      <c r="C138" s="8" t="s">
        <v>274</v>
      </c>
      <c r="D138" s="53"/>
      <c r="E138" s="53"/>
      <c r="G138"/>
      <c r="H138"/>
      <c r="I138"/>
    </row>
    <row r="139" spans="1:9" s="1" customFormat="1" x14ac:dyDescent="0.25">
      <c r="A139" s="10" t="s">
        <v>275</v>
      </c>
      <c r="B139" s="10">
        <v>37206</v>
      </c>
      <c r="C139" s="8" t="s">
        <v>276</v>
      </c>
      <c r="D139" s="53"/>
      <c r="E139" s="53"/>
      <c r="G139"/>
      <c r="H139"/>
      <c r="I139"/>
    </row>
    <row r="140" spans="1:9" s="1" customFormat="1" x14ac:dyDescent="0.25">
      <c r="A140" s="10"/>
      <c r="B140" s="51">
        <v>37299</v>
      </c>
      <c r="C140" s="52" t="s">
        <v>277</v>
      </c>
      <c r="D140" s="53"/>
      <c r="E140" s="53"/>
      <c r="G140"/>
      <c r="H140"/>
      <c r="I140"/>
    </row>
    <row r="141" spans="1:9" s="1" customFormat="1" x14ac:dyDescent="0.25">
      <c r="A141" s="10" t="s">
        <v>278</v>
      </c>
      <c r="B141" s="51">
        <v>39101</v>
      </c>
      <c r="C141" s="52" t="s">
        <v>279</v>
      </c>
      <c r="D141" s="53"/>
      <c r="E141" s="53"/>
      <c r="G141"/>
      <c r="H141"/>
      <c r="I141"/>
    </row>
    <row r="142" spans="1:9" s="1" customFormat="1" ht="30" x14ac:dyDescent="0.25">
      <c r="A142" s="10" t="s">
        <v>280</v>
      </c>
      <c r="B142" s="51">
        <v>39201</v>
      </c>
      <c r="C142" s="52" t="s">
        <v>281</v>
      </c>
      <c r="D142" s="53">
        <v>508591.8</v>
      </c>
      <c r="E142" s="53"/>
      <c r="G142"/>
      <c r="H142"/>
      <c r="I142"/>
    </row>
    <row r="143" spans="1:9" s="1" customFormat="1" ht="30" x14ac:dyDescent="0.25">
      <c r="A143" s="10"/>
      <c r="B143" s="51">
        <v>39301</v>
      </c>
      <c r="C143" s="52" t="s">
        <v>282</v>
      </c>
      <c r="D143" s="53"/>
      <c r="E143" s="53"/>
      <c r="G143"/>
      <c r="H143"/>
      <c r="I143"/>
    </row>
    <row r="144" spans="1:9" s="1" customFormat="1" x14ac:dyDescent="0.25">
      <c r="A144" s="10" t="s">
        <v>283</v>
      </c>
      <c r="B144" s="51">
        <v>39501</v>
      </c>
      <c r="C144" s="52" t="s">
        <v>284</v>
      </c>
      <c r="D144" s="53"/>
      <c r="E144" s="53"/>
      <c r="G144"/>
      <c r="H144"/>
      <c r="I144"/>
    </row>
    <row r="145" spans="1:9" s="1" customFormat="1" x14ac:dyDescent="0.25">
      <c r="A145" s="10" t="s">
        <v>285</v>
      </c>
      <c r="B145" s="10">
        <v>39601</v>
      </c>
      <c r="C145" s="8" t="s">
        <v>286</v>
      </c>
      <c r="D145" s="53"/>
      <c r="E145" s="53"/>
      <c r="G145"/>
      <c r="H145"/>
      <c r="I145"/>
    </row>
    <row r="146" spans="1:9" s="1" customFormat="1" x14ac:dyDescent="0.25">
      <c r="A146" s="10" t="s">
        <v>287</v>
      </c>
      <c r="B146" s="10">
        <v>39801</v>
      </c>
      <c r="C146" s="8" t="s">
        <v>288</v>
      </c>
      <c r="D146" s="53"/>
      <c r="E146" s="53"/>
      <c r="G146"/>
      <c r="H146"/>
      <c r="I146"/>
    </row>
    <row r="147" spans="1:9" s="1" customFormat="1" x14ac:dyDescent="0.25">
      <c r="A147" s="10"/>
      <c r="B147" s="10">
        <v>39802</v>
      </c>
      <c r="C147" s="8" t="s">
        <v>353</v>
      </c>
      <c r="D147" s="53">
        <v>188800</v>
      </c>
      <c r="E147" s="53"/>
      <c r="G147"/>
      <c r="H147"/>
      <c r="I147"/>
    </row>
    <row r="148" spans="1:9" s="1" customFormat="1" x14ac:dyDescent="0.25">
      <c r="A148" s="10" t="s">
        <v>289</v>
      </c>
      <c r="B148" s="10">
        <v>39901</v>
      </c>
      <c r="C148" s="8" t="s">
        <v>290</v>
      </c>
      <c r="D148" s="53"/>
      <c r="E148" s="53"/>
      <c r="G148"/>
      <c r="H148"/>
      <c r="I148"/>
    </row>
    <row r="149" spans="1:9" s="1" customFormat="1" x14ac:dyDescent="0.25">
      <c r="A149" s="10" t="s">
        <v>289</v>
      </c>
      <c r="B149" s="10">
        <v>39902</v>
      </c>
      <c r="C149" s="8" t="s">
        <v>291</v>
      </c>
      <c r="D149" s="53"/>
      <c r="E149" s="53"/>
      <c r="G149"/>
      <c r="H149"/>
      <c r="I149"/>
    </row>
    <row r="150" spans="1:9" s="1" customFormat="1" x14ac:dyDescent="0.25">
      <c r="A150" s="10"/>
      <c r="B150" s="10">
        <v>39904</v>
      </c>
      <c r="C150" s="8" t="s">
        <v>292</v>
      </c>
      <c r="D150" s="53"/>
      <c r="E150" s="53"/>
      <c r="G150"/>
      <c r="H150"/>
      <c r="I150"/>
    </row>
    <row r="151" spans="1:9" s="1" customFormat="1" x14ac:dyDescent="0.25">
      <c r="A151" s="10"/>
      <c r="B151" s="10">
        <v>39905</v>
      </c>
      <c r="C151" s="8" t="s">
        <v>293</v>
      </c>
      <c r="D151" s="53"/>
      <c r="E151" s="53"/>
      <c r="G151"/>
      <c r="H151"/>
      <c r="I151"/>
    </row>
    <row r="152" spans="1:9" s="1" customFormat="1" ht="26.25" x14ac:dyDescent="0.25">
      <c r="A152" s="51"/>
      <c r="B152" s="51">
        <v>4</v>
      </c>
      <c r="C152" s="63" t="s">
        <v>294</v>
      </c>
      <c r="D152" s="57">
        <f>SUM(D153:D163)</f>
        <v>0</v>
      </c>
      <c r="E152" s="57"/>
      <c r="G152"/>
      <c r="H152"/>
      <c r="I152"/>
    </row>
    <row r="153" spans="1:9" s="1" customFormat="1" x14ac:dyDescent="0.25">
      <c r="A153" s="10" t="s">
        <v>295</v>
      </c>
      <c r="B153" s="10">
        <v>41103</v>
      </c>
      <c r="C153" s="8" t="s">
        <v>296</v>
      </c>
      <c r="D153" s="53"/>
      <c r="E153" s="53"/>
      <c r="G153"/>
      <c r="H153"/>
      <c r="I153"/>
    </row>
    <row r="154" spans="1:9" s="1" customFormat="1" ht="30" x14ac:dyDescent="0.25">
      <c r="A154" s="10" t="s">
        <v>297</v>
      </c>
      <c r="B154" s="10">
        <v>41201</v>
      </c>
      <c r="C154" s="8" t="s">
        <v>298</v>
      </c>
      <c r="D154" s="53"/>
      <c r="E154" s="53"/>
      <c r="G154"/>
      <c r="H154"/>
      <c r="I154"/>
    </row>
    <row r="155" spans="1:9" s="1" customFormat="1" ht="30" x14ac:dyDescent="0.25">
      <c r="A155" s="10" t="s">
        <v>299</v>
      </c>
      <c r="B155" s="10">
        <v>41202</v>
      </c>
      <c r="C155" s="8" t="s">
        <v>300</v>
      </c>
      <c r="D155" s="53"/>
      <c r="E155" s="53"/>
      <c r="G155"/>
      <c r="H155"/>
      <c r="I155"/>
    </row>
    <row r="156" spans="1:9" s="1" customFormat="1" x14ac:dyDescent="0.25">
      <c r="A156" s="10"/>
      <c r="B156" s="10">
        <v>41401</v>
      </c>
      <c r="C156" s="8" t="s">
        <v>301</v>
      </c>
      <c r="D156" s="9"/>
      <c r="E156" s="9"/>
      <c r="G156"/>
      <c r="H156"/>
      <c r="I156"/>
    </row>
    <row r="157" spans="1:9" s="1" customFormat="1" x14ac:dyDescent="0.25">
      <c r="A157" s="10" t="s">
        <v>302</v>
      </c>
      <c r="B157" s="10">
        <v>41402</v>
      </c>
      <c r="C157" s="8" t="s">
        <v>303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304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305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306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307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308</v>
      </c>
      <c r="D162" s="9"/>
      <c r="E162" s="9"/>
      <c r="G162"/>
      <c r="H162"/>
      <c r="I162"/>
    </row>
    <row r="163" spans="1:9" s="1" customFormat="1" x14ac:dyDescent="0.25">
      <c r="A163" s="10" t="s">
        <v>309</v>
      </c>
      <c r="B163" s="10">
        <v>44102</v>
      </c>
      <c r="C163" s="8" t="s">
        <v>310</v>
      </c>
      <c r="D163" s="9"/>
      <c r="E163" s="9"/>
      <c r="G163"/>
      <c r="H163"/>
      <c r="I163"/>
    </row>
    <row r="164" spans="1:9" s="1" customFormat="1" x14ac:dyDescent="0.25">
      <c r="A164" s="51"/>
      <c r="B164" s="51">
        <v>62501</v>
      </c>
      <c r="C164" s="52" t="s">
        <v>311</v>
      </c>
      <c r="D164" s="68"/>
      <c r="E164" s="68"/>
      <c r="G164"/>
      <c r="H164"/>
      <c r="I164"/>
    </row>
    <row r="165" spans="1:9" s="1" customFormat="1" x14ac:dyDescent="0.25">
      <c r="A165" s="51"/>
      <c r="B165" s="51" t="s">
        <v>312</v>
      </c>
      <c r="C165" s="52" t="s">
        <v>313</v>
      </c>
      <c r="D165" s="68"/>
      <c r="E165" s="68"/>
      <c r="G165"/>
      <c r="H165"/>
      <c r="I165"/>
    </row>
    <row r="166" spans="1:9" s="1" customFormat="1" x14ac:dyDescent="0.25">
      <c r="A166" s="10"/>
      <c r="B166" s="10"/>
      <c r="C166" s="8" t="s">
        <v>77</v>
      </c>
      <c r="D166" s="15"/>
      <c r="E166" s="62">
        <f>+E9-E16</f>
        <v>824091428.12</v>
      </c>
      <c r="G166"/>
      <c r="H166"/>
      <c r="I166"/>
    </row>
    <row r="167" spans="1:9" s="1" customFormat="1" x14ac:dyDescent="0.25">
      <c r="A167" s="10"/>
      <c r="B167" s="10" t="s">
        <v>314</v>
      </c>
      <c r="C167" s="8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8" t="s">
        <v>77</v>
      </c>
      <c r="D168" s="17"/>
      <c r="E168" s="10"/>
      <c r="G168"/>
      <c r="H168"/>
      <c r="I168"/>
    </row>
    <row r="169" spans="1:9" s="1" customFormat="1" x14ac:dyDescent="0.25">
      <c r="A169" s="10"/>
      <c r="B169" s="10"/>
      <c r="C169" s="8" t="s">
        <v>315</v>
      </c>
      <c r="D169" s="10"/>
      <c r="E169" s="17">
        <f>+D168</f>
        <v>0</v>
      </c>
      <c r="G169"/>
      <c r="H169"/>
      <c r="I169"/>
    </row>
    <row r="170" spans="1:9" s="1" customFormat="1" x14ac:dyDescent="0.25">
      <c r="A170" s="10"/>
      <c r="B170" s="10" t="s">
        <v>316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8" t="s">
        <v>42</v>
      </c>
      <c r="D171" s="17"/>
      <c r="E171" s="10"/>
      <c r="G171"/>
      <c r="H171"/>
      <c r="I171"/>
    </row>
    <row r="172" spans="1:9" s="1" customFormat="1" x14ac:dyDescent="0.25">
      <c r="A172" s="10"/>
      <c r="B172" s="10"/>
      <c r="C172" s="8" t="s">
        <v>315</v>
      </c>
      <c r="D172" s="10"/>
      <c r="E172" s="17">
        <f>+E169</f>
        <v>0</v>
      </c>
      <c r="G172"/>
      <c r="H172"/>
      <c r="I172"/>
    </row>
    <row r="173" spans="1:9" s="1" customFormat="1" x14ac:dyDescent="0.25">
      <c r="A173" s="10"/>
      <c r="B173" s="10" t="s">
        <v>317</v>
      </c>
      <c r="C173" s="10"/>
      <c r="D173" s="10"/>
      <c r="E173" s="10"/>
      <c r="G173"/>
      <c r="H173"/>
      <c r="I173"/>
    </row>
    <row r="174" spans="1:9" s="1" customFormat="1" x14ac:dyDescent="0.25">
      <c r="A174" s="51"/>
      <c r="B174" s="97" t="s">
        <v>318</v>
      </c>
      <c r="C174" s="98"/>
      <c r="D174" s="66">
        <f>+E9-E16</f>
        <v>824091428.12</v>
      </c>
      <c r="E174" s="67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37"/>
      <c r="G178"/>
      <c r="H178"/>
      <c r="I178"/>
    </row>
    <row r="179" spans="1:9" s="1" customFormat="1" x14ac:dyDescent="0.25">
      <c r="A179"/>
      <c r="B179"/>
      <c r="C179"/>
      <c r="D179"/>
      <c r="E179" s="37"/>
      <c r="G179"/>
      <c r="H179"/>
      <c r="I179"/>
    </row>
    <row r="182" spans="1:9" s="1" customFormat="1" ht="26.25" x14ac:dyDescent="0.25">
      <c r="A182" s="23" t="s">
        <v>319</v>
      </c>
      <c r="B182" s="11">
        <v>6</v>
      </c>
      <c r="C182" s="5" t="s">
        <v>320</v>
      </c>
      <c r="D182" s="12">
        <f>SUM(D183:D204)</f>
        <v>1807937.53</v>
      </c>
      <c r="E182" s="19"/>
      <c r="G182"/>
      <c r="H182"/>
      <c r="I182"/>
    </row>
    <row r="183" spans="1:9" s="1" customFormat="1" x14ac:dyDescent="0.25">
      <c r="A183" s="26">
        <v>1206010007</v>
      </c>
      <c r="B183" s="10">
        <v>61101</v>
      </c>
      <c r="C183" s="8" t="s">
        <v>321</v>
      </c>
      <c r="D183" s="53"/>
      <c r="E183" s="20"/>
      <c r="G183"/>
      <c r="H183"/>
      <c r="I183"/>
    </row>
    <row r="184" spans="1:9" s="1" customFormat="1" x14ac:dyDescent="0.25">
      <c r="A184" s="26">
        <v>1206010004</v>
      </c>
      <c r="B184" s="10">
        <v>61301</v>
      </c>
      <c r="C184" s="8" t="s">
        <v>322</v>
      </c>
      <c r="D184" s="53">
        <v>1746558.53</v>
      </c>
      <c r="E184" s="20"/>
      <c r="G184"/>
      <c r="H184"/>
      <c r="I184"/>
    </row>
    <row r="185" spans="1:9" s="1" customFormat="1" x14ac:dyDescent="0.25">
      <c r="A185" s="26">
        <v>1206010007</v>
      </c>
      <c r="B185" s="10">
        <v>61401</v>
      </c>
      <c r="C185" s="8" t="s">
        <v>323</v>
      </c>
      <c r="D185" s="53"/>
      <c r="E185" s="20"/>
      <c r="G185"/>
      <c r="H185"/>
      <c r="I185"/>
    </row>
    <row r="186" spans="1:9" s="1" customFormat="1" ht="30" x14ac:dyDescent="0.25">
      <c r="A186" s="26">
        <v>1206010001</v>
      </c>
      <c r="B186" s="10">
        <v>61901</v>
      </c>
      <c r="C186" s="8" t="s">
        <v>324</v>
      </c>
      <c r="D186" s="53"/>
      <c r="E186" s="20"/>
      <c r="G186"/>
      <c r="H186"/>
      <c r="I186"/>
    </row>
    <row r="187" spans="1:9" s="1" customFormat="1" x14ac:dyDescent="0.25">
      <c r="A187" s="26">
        <v>1206010002</v>
      </c>
      <c r="B187" s="10">
        <v>62101</v>
      </c>
      <c r="C187" s="8" t="s">
        <v>325</v>
      </c>
      <c r="D187" s="53"/>
      <c r="E187" s="20"/>
      <c r="G187"/>
      <c r="H187"/>
      <c r="I187"/>
    </row>
    <row r="188" spans="1:9" s="1" customFormat="1" x14ac:dyDescent="0.25">
      <c r="A188" s="26">
        <v>1206010002</v>
      </c>
      <c r="B188" s="10">
        <v>62301</v>
      </c>
      <c r="C188" s="8" t="s">
        <v>326</v>
      </c>
      <c r="D188" s="53">
        <v>61379</v>
      </c>
      <c r="E188" s="20"/>
      <c r="G188"/>
      <c r="H188"/>
      <c r="I188"/>
    </row>
    <row r="189" spans="1:9" s="1" customFormat="1" x14ac:dyDescent="0.25">
      <c r="A189" s="26"/>
      <c r="B189" s="10">
        <v>63201</v>
      </c>
      <c r="C189" s="8" t="s">
        <v>327</v>
      </c>
      <c r="D189" s="53"/>
      <c r="E189" s="20"/>
      <c r="G189"/>
      <c r="H189"/>
      <c r="I189"/>
    </row>
    <row r="190" spans="1:9" s="1" customFormat="1" ht="30" x14ac:dyDescent="0.25">
      <c r="A190" s="26"/>
      <c r="B190" s="10">
        <v>63401</v>
      </c>
      <c r="C190" s="8" t="s">
        <v>328</v>
      </c>
      <c r="D190" s="53"/>
      <c r="E190" s="20"/>
      <c r="G190"/>
      <c r="H190"/>
      <c r="I190"/>
    </row>
    <row r="191" spans="1:9" s="1" customFormat="1" x14ac:dyDescent="0.25">
      <c r="A191" s="26">
        <v>1206010003</v>
      </c>
      <c r="B191" s="10">
        <v>64101</v>
      </c>
      <c r="C191" s="8" t="s">
        <v>329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64601</v>
      </c>
      <c r="C192" s="8" t="s">
        <v>330</v>
      </c>
      <c r="D192" s="53"/>
      <c r="E192" s="20"/>
      <c r="G192"/>
      <c r="H192"/>
      <c r="I192"/>
    </row>
    <row r="193" spans="1:9" s="1" customFormat="1" x14ac:dyDescent="0.25">
      <c r="A193" s="26"/>
      <c r="B193" s="51">
        <v>64701</v>
      </c>
      <c r="C193" s="52" t="s">
        <v>331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51">
        <v>64801</v>
      </c>
      <c r="C194" s="52" t="s">
        <v>332</v>
      </c>
      <c r="D194" s="53"/>
      <c r="E194" s="20"/>
      <c r="G194"/>
      <c r="H194"/>
      <c r="I194"/>
    </row>
    <row r="195" spans="1:9" s="1" customFormat="1" x14ac:dyDescent="0.25">
      <c r="A195" s="26">
        <v>1206010001</v>
      </c>
      <c r="B195" s="10">
        <v>65201</v>
      </c>
      <c r="C195" s="8" t="s">
        <v>333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65401</v>
      </c>
      <c r="C196" s="8" t="s">
        <v>334</v>
      </c>
      <c r="D196" s="53"/>
      <c r="E196" s="20"/>
      <c r="G196"/>
      <c r="H196"/>
      <c r="I196"/>
    </row>
    <row r="197" spans="1:9" s="1" customFormat="1" x14ac:dyDescent="0.25">
      <c r="A197" s="26">
        <v>1206010006</v>
      </c>
      <c r="B197" s="10">
        <v>65501</v>
      </c>
      <c r="C197" s="8" t="s">
        <v>335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65601</v>
      </c>
      <c r="C198" s="8" t="s">
        <v>336</v>
      </c>
      <c r="D198" s="53"/>
      <c r="E198" s="20"/>
      <c r="G198"/>
      <c r="H198"/>
      <c r="I198"/>
    </row>
    <row r="199" spans="1:9" s="1" customFormat="1" x14ac:dyDescent="0.25">
      <c r="A199" s="26">
        <v>1206010008</v>
      </c>
      <c r="B199" s="10">
        <v>65701</v>
      </c>
      <c r="C199" s="8" t="s">
        <v>337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65801</v>
      </c>
      <c r="C200" s="8" t="s">
        <v>338</v>
      </c>
      <c r="D200" s="53"/>
      <c r="E200" s="20"/>
      <c r="G200"/>
      <c r="H200"/>
      <c r="I200"/>
    </row>
    <row r="201" spans="1:9" s="1" customFormat="1" x14ac:dyDescent="0.25">
      <c r="A201" s="26">
        <v>1206980001</v>
      </c>
      <c r="B201" s="10">
        <v>66201</v>
      </c>
      <c r="C201" s="8" t="s">
        <v>339</v>
      </c>
      <c r="D201" s="53"/>
      <c r="E201" s="20"/>
      <c r="G201"/>
      <c r="H201"/>
      <c r="I201"/>
    </row>
    <row r="202" spans="1:9" s="1" customFormat="1" x14ac:dyDescent="0.25">
      <c r="A202" s="26">
        <v>1208010003</v>
      </c>
      <c r="B202" s="10">
        <v>68301</v>
      </c>
      <c r="C202" s="8" t="s">
        <v>340</v>
      </c>
      <c r="D202" s="53"/>
      <c r="E202" s="20"/>
      <c r="G202"/>
      <c r="H202"/>
      <c r="I202"/>
    </row>
    <row r="203" spans="1:9" s="1" customFormat="1" x14ac:dyDescent="0.25">
      <c r="A203" s="26">
        <v>1206020002</v>
      </c>
      <c r="B203" s="10">
        <v>69201</v>
      </c>
      <c r="C203" s="8" t="s">
        <v>341</v>
      </c>
      <c r="D203" s="9"/>
      <c r="E203" s="20"/>
      <c r="G203"/>
      <c r="H203"/>
      <c r="I203"/>
    </row>
    <row r="204" spans="1:9" s="1" customFormat="1" x14ac:dyDescent="0.25">
      <c r="A204" s="26">
        <v>1206980004</v>
      </c>
      <c r="B204" s="10">
        <v>69502</v>
      </c>
      <c r="C204" s="8" t="s">
        <v>342</v>
      </c>
      <c r="D204" s="9"/>
      <c r="E204" s="20"/>
      <c r="G204"/>
      <c r="H204"/>
      <c r="I204"/>
    </row>
    <row r="205" spans="1:9" s="1" customFormat="1" x14ac:dyDescent="0.25">
      <c r="A205" s="27"/>
      <c r="B205" s="51">
        <v>7</v>
      </c>
      <c r="C205" s="63" t="s">
        <v>343</v>
      </c>
      <c r="D205" s="57">
        <f>SUM(D206:D207)</f>
        <v>0</v>
      </c>
      <c r="E205" s="25"/>
      <c r="G205"/>
      <c r="H205"/>
      <c r="I205"/>
    </row>
    <row r="206" spans="1:9" s="1" customFormat="1" ht="30" x14ac:dyDescent="0.25">
      <c r="A206" s="27" t="s">
        <v>344</v>
      </c>
      <c r="B206" s="10">
        <v>71201</v>
      </c>
      <c r="C206" s="8" t="s">
        <v>345</v>
      </c>
      <c r="D206" s="24"/>
      <c r="E206" s="25"/>
      <c r="G206"/>
      <c r="H206"/>
      <c r="I206"/>
    </row>
    <row r="207" spans="1:9" s="1" customFormat="1" x14ac:dyDescent="0.25">
      <c r="A207" s="27" t="s">
        <v>346</v>
      </c>
      <c r="B207" s="10">
        <v>71501</v>
      </c>
      <c r="C207" s="8" t="s">
        <v>347</v>
      </c>
      <c r="D207" s="24"/>
      <c r="E207" s="25"/>
      <c r="G207"/>
      <c r="H207"/>
      <c r="I207"/>
    </row>
    <row r="208" spans="1:9" s="1" customFormat="1" x14ac:dyDescent="0.25">
      <c r="A208" s="72"/>
      <c r="B208" s="51"/>
      <c r="C208" s="52"/>
      <c r="D208" s="71">
        <f>+D182+D205</f>
        <v>1807937.53</v>
      </c>
      <c r="E208" s="19">
        <f>+D188+D184+D147+D142+D116+D103+D100+D88+D85+D84+D82+D77+D67+D64+D54+D53+D51+D42+D41+D40+D18</f>
        <v>31489241.699999999</v>
      </c>
      <c r="G208"/>
      <c r="H208"/>
      <c r="I208"/>
    </row>
    <row r="209" spans="1:9" s="1" customFormat="1" x14ac:dyDescent="0.25">
      <c r="A209"/>
      <c r="B209"/>
      <c r="C209" s="2" t="s">
        <v>348</v>
      </c>
      <c r="E209" s="21"/>
      <c r="G209"/>
      <c r="H209"/>
      <c r="I209"/>
    </row>
    <row r="210" spans="1:9" s="1" customFormat="1" x14ac:dyDescent="0.25">
      <c r="A210"/>
      <c r="B210"/>
      <c r="C210" s="2" t="s">
        <v>349</v>
      </c>
      <c r="E210" s="21"/>
      <c r="G210"/>
      <c r="H210"/>
      <c r="I210"/>
    </row>
    <row r="211" spans="1:9" s="1" customFormat="1" x14ac:dyDescent="0.25">
      <c r="A211"/>
      <c r="B211"/>
      <c r="C211"/>
      <c r="D211"/>
      <c r="E211" s="22"/>
      <c r="G211"/>
      <c r="H211"/>
      <c r="I211"/>
    </row>
    <row r="212" spans="1:9" s="1" customFormat="1" x14ac:dyDescent="0.25">
      <c r="A212"/>
      <c r="B212"/>
      <c r="C212"/>
      <c r="D21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activeCell="Z21" sqref="Z21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4</v>
      </c>
    </row>
    <row r="6" spans="1:27" x14ac:dyDescent="0.25">
      <c r="A6" t="s">
        <v>354</v>
      </c>
    </row>
    <row r="7" spans="1:27" x14ac:dyDescent="0.25">
      <c r="A7" t="s">
        <v>6</v>
      </c>
    </row>
    <row r="8" spans="1:27" x14ac:dyDescent="0.25">
      <c r="B8" s="1" t="s">
        <v>7</v>
      </c>
      <c r="C8" s="1" t="s">
        <v>8</v>
      </c>
      <c r="D8" s="1" t="s">
        <v>9</v>
      </c>
      <c r="E8" s="36" t="s">
        <v>10</v>
      </c>
      <c r="F8" s="1" t="s">
        <v>11</v>
      </c>
      <c r="G8" s="1" t="s">
        <v>12</v>
      </c>
      <c r="H8" s="36" t="s">
        <v>13</v>
      </c>
      <c r="I8" s="36" t="s">
        <v>14</v>
      </c>
      <c r="J8" s="36" t="s">
        <v>15</v>
      </c>
      <c r="K8" s="36" t="s">
        <v>16</v>
      </c>
      <c r="L8" s="36" t="s">
        <v>17</v>
      </c>
      <c r="M8" s="36" t="s">
        <v>7</v>
      </c>
      <c r="N8" s="36" t="s">
        <v>8</v>
      </c>
      <c r="O8" s="36" t="s">
        <v>9</v>
      </c>
      <c r="P8" s="36" t="s">
        <v>18</v>
      </c>
      <c r="Q8" s="40" t="s">
        <v>10</v>
      </c>
      <c r="R8" s="36" t="s">
        <v>19</v>
      </c>
      <c r="S8" s="40" t="s">
        <v>20</v>
      </c>
      <c r="T8" s="40" t="s">
        <v>11</v>
      </c>
      <c r="U8" s="40" t="s">
        <v>12</v>
      </c>
      <c r="V8" s="36" t="s">
        <v>13</v>
      </c>
      <c r="W8" s="40" t="s">
        <v>14</v>
      </c>
      <c r="X8" s="40" t="s">
        <v>15</v>
      </c>
      <c r="Y8" s="40" t="s">
        <v>16</v>
      </c>
      <c r="Z8" s="40" t="s">
        <v>8</v>
      </c>
    </row>
    <row r="9" spans="1:27" x14ac:dyDescent="0.25">
      <c r="A9" s="29" t="s">
        <v>21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22</v>
      </c>
    </row>
    <row r="11" spans="1:27" x14ac:dyDescent="0.25">
      <c r="A11" t="s">
        <v>23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8">
        <v>322052434.61000001</v>
      </c>
    </row>
    <row r="12" spans="1:27" x14ac:dyDescent="0.25">
      <c r="A12" t="s">
        <v>24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347054693.31999999</v>
      </c>
    </row>
    <row r="13" spans="1:27" x14ac:dyDescent="0.25">
      <c r="A13" t="s">
        <v>25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10637127.640000001</v>
      </c>
    </row>
    <row r="14" spans="1:27" x14ac:dyDescent="0.25">
      <c r="A14" t="s">
        <v>26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x14ac:dyDescent="0.25">
      <c r="A15" s="29" t="s">
        <v>27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42">
        <f>SUM(Z11:Z14)</f>
        <v>679744255.57000005</v>
      </c>
    </row>
    <row r="17" spans="1:27" x14ac:dyDescent="0.25">
      <c r="A17" t="s">
        <v>28</v>
      </c>
    </row>
    <row r="18" spans="1:27" x14ac:dyDescent="0.25">
      <c r="A18" t="s">
        <v>29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499946306.10000002</v>
      </c>
    </row>
    <row r="19" spans="1:27" x14ac:dyDescent="0.25">
      <c r="A19" t="s">
        <v>30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7" x14ac:dyDescent="0.25">
      <c r="A20" t="s">
        <v>31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-159810991.62</v>
      </c>
      <c r="AA20" s="61"/>
    </row>
    <row r="21" spans="1:27" x14ac:dyDescent="0.25">
      <c r="A21" t="s">
        <v>32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40779054.32</v>
      </c>
      <c r="AA21" s="61"/>
    </row>
    <row r="22" spans="1:27" x14ac:dyDescent="0.25">
      <c r="A22" s="29" t="s">
        <v>33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445595916.57999998</v>
      </c>
    </row>
    <row r="23" spans="1:27" ht="15.75" thickBot="1" x14ac:dyDescent="0.3">
      <c r="A23" s="29" t="s">
        <v>34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 t="shared" si="7"/>
        <v>1125340172.1500001</v>
      </c>
    </row>
    <row r="24" spans="1:27" ht="15.75" thickTop="1" x14ac:dyDescent="0.25"/>
    <row r="25" spans="1:27" x14ac:dyDescent="0.25">
      <c r="A25" s="29" t="s">
        <v>35</v>
      </c>
      <c r="B25" s="29" t="s">
        <v>35</v>
      </c>
      <c r="C25" s="29" t="s">
        <v>35</v>
      </c>
      <c r="D25" s="29" t="s">
        <v>35</v>
      </c>
      <c r="E25" s="29" t="s">
        <v>35</v>
      </c>
      <c r="F25" s="29" t="s">
        <v>35</v>
      </c>
      <c r="G25" s="29" t="s">
        <v>35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22</v>
      </c>
    </row>
    <row r="27" spans="1:27" x14ac:dyDescent="0.25">
      <c r="A27" t="s">
        <v>36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6268.42</v>
      </c>
    </row>
    <row r="28" spans="1:27" x14ac:dyDescent="0.25">
      <c r="A28" t="s">
        <v>37</v>
      </c>
    </row>
    <row r="29" spans="1:27" x14ac:dyDescent="0.25">
      <c r="A29" t="s">
        <v>38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96395468.930000007</v>
      </c>
    </row>
    <row r="30" spans="1:27" x14ac:dyDescent="0.25">
      <c r="A30" s="29" t="s">
        <v>39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96401737.350000009</v>
      </c>
    </row>
    <row r="32" spans="1:27" x14ac:dyDescent="0.25">
      <c r="A32" s="29" t="s">
        <v>40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41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96401737.350000009</v>
      </c>
      <c r="AD33" s="37"/>
      <c r="AE33" s="1"/>
    </row>
    <row r="35" spans="1:31" x14ac:dyDescent="0.25">
      <c r="A35" s="29" t="s">
        <v>42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43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44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45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46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</f>
        <v>-300111980.41000003</v>
      </c>
      <c r="AD39" s="37"/>
    </row>
    <row r="40" spans="1:31" x14ac:dyDescent="0.25">
      <c r="A40" s="29" t="s">
        <v>47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:Z40" si="12">+O36+O37+O38+O39</f>
        <v>781993611.07999992</v>
      </c>
      <c r="P40" s="30">
        <f t="shared" si="12"/>
        <v>715503686.43000007</v>
      </c>
      <c r="Q40" s="30">
        <f t="shared" si="12"/>
        <v>659295331.8900001</v>
      </c>
      <c r="R40" s="30">
        <f t="shared" si="12"/>
        <v>667132025.82000005</v>
      </c>
      <c r="S40" s="30">
        <f t="shared" si="12"/>
        <v>663266949.01000011</v>
      </c>
      <c r="T40" s="30">
        <f t="shared" si="12"/>
        <v>523415763.63999999</v>
      </c>
      <c r="U40" s="30">
        <f t="shared" si="12"/>
        <v>516357838.06000006</v>
      </c>
      <c r="V40" s="30">
        <f t="shared" si="12"/>
        <v>738315192.68999994</v>
      </c>
      <c r="W40" s="30">
        <f t="shared" si="12"/>
        <v>707112350.8499999</v>
      </c>
      <c r="X40" s="30">
        <f t="shared" si="12"/>
        <v>635461050.13999987</v>
      </c>
      <c r="Y40" s="30">
        <f t="shared" si="12"/>
        <v>1519787897.9999998</v>
      </c>
      <c r="Z40" s="30">
        <f t="shared" si="12"/>
        <v>1028938434.7999997</v>
      </c>
      <c r="AE40" s="37"/>
    </row>
    <row r="41" spans="1:31" ht="15.75" thickBot="1" x14ac:dyDescent="0.3">
      <c r="A41" s="29" t="s">
        <v>48</v>
      </c>
      <c r="B41" s="31">
        <f t="shared" ref="B41:M41" si="13">+B33+B40</f>
        <v>866561662.19000018</v>
      </c>
      <c r="C41" s="31">
        <f t="shared" si="13"/>
        <v>706550462.48000014</v>
      </c>
      <c r="D41" s="31">
        <f t="shared" si="13"/>
        <v>688698305.74999988</v>
      </c>
      <c r="E41" s="31">
        <f t="shared" si="13"/>
        <v>539641569.82000005</v>
      </c>
      <c r="F41" s="31">
        <f t="shared" si="13"/>
        <v>506921862.21000004</v>
      </c>
      <c r="G41" s="31">
        <f t="shared" si="13"/>
        <v>445823365.65999997</v>
      </c>
      <c r="H41" s="31">
        <f t="shared" si="13"/>
        <v>416959353.99999994</v>
      </c>
      <c r="I41" s="31">
        <f t="shared" si="13"/>
        <v>377122343.94</v>
      </c>
      <c r="J41" s="31">
        <f t="shared" si="13"/>
        <v>354887082.61000001</v>
      </c>
      <c r="K41" s="31">
        <f t="shared" si="13"/>
        <v>292601309.32999998</v>
      </c>
      <c r="L41" s="31">
        <f t="shared" si="13"/>
        <v>1223742145.47</v>
      </c>
      <c r="M41" s="31">
        <f t="shared" si="13"/>
        <v>954870534.36000001</v>
      </c>
      <c r="N41" s="31">
        <v>968268401.30000019</v>
      </c>
      <c r="O41" s="31">
        <f t="shared" ref="O41:Y41" si="14">+O33+O40</f>
        <v>786470086.2299999</v>
      </c>
      <c r="P41" s="31">
        <f t="shared" si="14"/>
        <v>764675361.55000007</v>
      </c>
      <c r="Q41" s="31">
        <f t="shared" si="14"/>
        <v>673669581.09000015</v>
      </c>
      <c r="R41" s="31">
        <f t="shared" si="14"/>
        <v>673669581.09000003</v>
      </c>
      <c r="S41" s="31">
        <f t="shared" si="14"/>
        <v>669804504.28000009</v>
      </c>
      <c r="T41" s="31">
        <f t="shared" si="14"/>
        <v>606285540.36000001</v>
      </c>
      <c r="U41" s="31">
        <f t="shared" si="14"/>
        <v>591580748.57000005</v>
      </c>
      <c r="V41" s="31">
        <f t="shared" si="14"/>
        <v>808398804.90999997</v>
      </c>
      <c r="W41" s="31">
        <f t="shared" si="14"/>
        <v>777894986.68999994</v>
      </c>
      <c r="X41" s="31">
        <f t="shared" si="14"/>
        <v>813245351.07999992</v>
      </c>
      <c r="Y41" s="31">
        <f t="shared" si="14"/>
        <v>1631925392.4799998</v>
      </c>
      <c r="Z41" s="31">
        <f>+Z33+Z40</f>
        <v>1125340172.1499996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49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5">+P41-P23</f>
        <v>0</v>
      </c>
      <c r="Q43" s="37">
        <f t="shared" si="15"/>
        <v>0</v>
      </c>
      <c r="R43" s="37">
        <f t="shared" si="15"/>
        <v>0</v>
      </c>
      <c r="S43" s="37">
        <f t="shared" si="15"/>
        <v>0</v>
      </c>
      <c r="T43" s="37">
        <f t="shared" si="15"/>
        <v>0</v>
      </c>
      <c r="U43" s="37">
        <f t="shared" si="15"/>
        <v>0</v>
      </c>
      <c r="V43" s="37">
        <f t="shared" si="15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A44" s="34" t="s">
        <v>355</v>
      </c>
      <c r="G44" s="1">
        <f>+G41-G23</f>
        <v>0</v>
      </c>
    </row>
    <row r="45" spans="1:31" x14ac:dyDescent="0.25">
      <c r="A45" t="s">
        <v>356</v>
      </c>
    </row>
    <row r="48" spans="1:31" x14ac:dyDescent="0.25">
      <c r="A48" t="s">
        <v>52</v>
      </c>
    </row>
    <row r="49" spans="1:1" x14ac:dyDescent="0.25">
      <c r="A49" s="34" t="s">
        <v>53</v>
      </c>
    </row>
    <row r="50" spans="1:1" x14ac:dyDescent="0.25">
      <c r="A50" t="s">
        <v>54</v>
      </c>
    </row>
    <row r="261" spans="27:27" x14ac:dyDescent="0.25">
      <c r="AA261" t="s">
        <v>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zoomScale="120" zoomScaleNormal="120" zoomScaleSheetLayoutView="100" workbookViewId="0">
      <selection activeCell="C16" sqref="C1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357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64</v>
      </c>
      <c r="B10" s="7" t="s">
        <v>65</v>
      </c>
      <c r="C10" s="8" t="s">
        <v>66</v>
      </c>
      <c r="D10" s="53">
        <v>347054693.31999999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553449849.10000002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6256983.6600000001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" t="s">
        <v>77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78</v>
      </c>
      <c r="D16" s="64">
        <f>+D18+D22+D23+D25+D28+D33+D40+D41+D42+D44+D45+D47+D48+D49+D50+D51+D52+D53+D58+D64+D67+D77+D84+D89+D91+D92+D93+D94+D95+D97+D99+D104+D109+D131+D132+D142+D146+D165+D183+D205</f>
        <v>51075848.859999992</v>
      </c>
      <c r="E16" s="64">
        <f>+D16</f>
        <v>51075848.859999992</v>
      </c>
    </row>
    <row r="17" spans="1:9" x14ac:dyDescent="0.25">
      <c r="A17" s="51"/>
      <c r="B17" s="51">
        <v>1</v>
      </c>
      <c r="C17" s="63" t="s">
        <v>79</v>
      </c>
      <c r="D17" s="57">
        <f>SUM(D18:D42)</f>
        <v>31957563.179999996</v>
      </c>
      <c r="E17" s="57" t="s">
        <v>3</v>
      </c>
    </row>
    <row r="18" spans="1:9" x14ac:dyDescent="0.25">
      <c r="A18" s="51" t="s">
        <v>80</v>
      </c>
      <c r="B18" s="51">
        <v>11101</v>
      </c>
      <c r="C18" s="52" t="s">
        <v>81</v>
      </c>
      <c r="D18" s="53">
        <f>19194002.86+948333.33</f>
        <v>20142336.189999998</v>
      </c>
      <c r="E18" s="53"/>
    </row>
    <row r="19" spans="1:9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30" x14ac:dyDescent="0.25">
      <c r="A22" s="10" t="s">
        <v>88</v>
      </c>
      <c r="B22" s="10">
        <v>11205</v>
      </c>
      <c r="C22" s="8" t="s">
        <v>89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90</v>
      </c>
      <c r="D23" s="65">
        <v>6177000</v>
      </c>
      <c r="E23" s="9"/>
    </row>
    <row r="24" spans="1:9" ht="30" x14ac:dyDescent="0.25">
      <c r="A24" s="10"/>
      <c r="B24" s="10">
        <v>11210</v>
      </c>
      <c r="C24" s="8" t="s">
        <v>91</v>
      </c>
      <c r="D24" s="53"/>
      <c r="E24" s="53"/>
    </row>
    <row r="25" spans="1:9" x14ac:dyDescent="0.25">
      <c r="A25" s="10"/>
      <c r="B25" s="10">
        <v>11211</v>
      </c>
      <c r="C25" s="8" t="s">
        <v>92</v>
      </c>
      <c r="D25" s="53">
        <v>98000</v>
      </c>
      <c r="E25" s="53"/>
    </row>
    <row r="26" spans="1:9" x14ac:dyDescent="0.25">
      <c r="A26" s="10" t="s">
        <v>93</v>
      </c>
      <c r="B26" s="10">
        <v>11401</v>
      </c>
      <c r="C26" s="8" t="s">
        <v>94</v>
      </c>
      <c r="D26" s="53"/>
      <c r="E26" s="53"/>
    </row>
    <row r="27" spans="1:9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30" x14ac:dyDescent="0.25">
      <c r="A28" s="10"/>
      <c r="B28" s="10">
        <v>11503</v>
      </c>
      <c r="C28" s="8" t="s">
        <v>97</v>
      </c>
      <c r="D28" s="53">
        <v>30000</v>
      </c>
      <c r="E28" s="53"/>
    </row>
    <row r="29" spans="1:9" x14ac:dyDescent="0.25">
      <c r="A29" s="10"/>
      <c r="B29" s="10">
        <v>11504</v>
      </c>
      <c r="C29" s="8" t="s">
        <v>98</v>
      </c>
      <c r="D29" s="53"/>
      <c r="E29" s="53"/>
    </row>
    <row r="30" spans="1:9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100</v>
      </c>
      <c r="D31" s="53"/>
      <c r="E31" s="53"/>
    </row>
    <row r="32" spans="1:9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5" x14ac:dyDescent="0.25">
      <c r="A33" s="10" t="s">
        <v>103</v>
      </c>
      <c r="B33" s="10">
        <v>12205</v>
      </c>
      <c r="C33" s="8" t="s">
        <v>104</v>
      </c>
      <c r="D33" s="53">
        <v>1460000</v>
      </c>
      <c r="E33" s="53"/>
    </row>
    <row r="34" spans="1:5" x14ac:dyDescent="0.25">
      <c r="A34" s="10" t="s">
        <v>105</v>
      </c>
      <c r="B34" s="10">
        <v>12206</v>
      </c>
      <c r="C34" s="8" t="s">
        <v>106</v>
      </c>
      <c r="D34" s="53"/>
      <c r="E34" s="53"/>
    </row>
    <row r="35" spans="1:5" x14ac:dyDescent="0.25">
      <c r="A35" s="10" t="s">
        <v>107</v>
      </c>
      <c r="B35" s="10">
        <v>12209</v>
      </c>
      <c r="C35" s="8" t="s">
        <v>108</v>
      </c>
      <c r="D35" s="53"/>
      <c r="E35" s="53"/>
    </row>
    <row r="36" spans="1:5" x14ac:dyDescent="0.25">
      <c r="A36" s="10"/>
      <c r="B36" s="10">
        <v>12210</v>
      </c>
      <c r="C36" s="8" t="s">
        <v>109</v>
      </c>
      <c r="D36" s="53"/>
      <c r="E36" s="53"/>
    </row>
    <row r="37" spans="1:5" ht="30" x14ac:dyDescent="0.25">
      <c r="A37" s="10"/>
      <c r="B37" s="10">
        <v>12215</v>
      </c>
      <c r="C37" s="8" t="s">
        <v>100</v>
      </c>
      <c r="D37" s="53"/>
      <c r="E37" s="53"/>
    </row>
    <row r="38" spans="1:5" x14ac:dyDescent="0.25">
      <c r="A38" s="10"/>
      <c r="B38" s="10">
        <v>13201</v>
      </c>
      <c r="C38" s="8" t="s">
        <v>110</v>
      </c>
      <c r="D38" s="53"/>
      <c r="E38" s="53"/>
    </row>
    <row r="39" spans="1:5" x14ac:dyDescent="0.25">
      <c r="A39" s="10" t="s">
        <v>111</v>
      </c>
      <c r="B39" s="10">
        <v>13101</v>
      </c>
      <c r="C39" s="8" t="s">
        <v>112</v>
      </c>
      <c r="D39" s="53"/>
      <c r="E39" s="53"/>
    </row>
    <row r="40" spans="1:5" x14ac:dyDescent="0.25">
      <c r="A40" s="10" t="s">
        <v>113</v>
      </c>
      <c r="B40" s="10">
        <v>15101</v>
      </c>
      <c r="C40" s="8" t="s">
        <v>114</v>
      </c>
      <c r="D40" s="54">
        <f>1801471.71+67236.83</f>
        <v>1868708.54</v>
      </c>
      <c r="E40" s="53"/>
    </row>
    <row r="41" spans="1:5" x14ac:dyDescent="0.25">
      <c r="A41" s="10" t="s">
        <v>115</v>
      </c>
      <c r="B41" s="10">
        <v>15201</v>
      </c>
      <c r="C41" s="8" t="s">
        <v>116</v>
      </c>
      <c r="D41" s="53">
        <f>1811281.22+67331.67</f>
        <v>1878612.89</v>
      </c>
      <c r="E41" s="53"/>
    </row>
    <row r="42" spans="1:5" ht="30" x14ac:dyDescent="0.25">
      <c r="A42" s="10"/>
      <c r="B42" s="10">
        <v>15301</v>
      </c>
      <c r="C42" s="8" t="s">
        <v>117</v>
      </c>
      <c r="D42" s="53">
        <f>250473.89+10431.67</f>
        <v>260905.56000000003</v>
      </c>
      <c r="E42" s="53"/>
    </row>
    <row r="43" spans="1:5" x14ac:dyDescent="0.25">
      <c r="A43" s="51"/>
      <c r="B43" s="51">
        <v>2</v>
      </c>
      <c r="C43" s="63" t="s">
        <v>118</v>
      </c>
      <c r="D43" s="57"/>
      <c r="E43" s="57"/>
    </row>
    <row r="44" spans="1:5" x14ac:dyDescent="0.25">
      <c r="A44" s="10" t="s">
        <v>119</v>
      </c>
      <c r="B44" s="10">
        <v>21201</v>
      </c>
      <c r="C44" s="8" t="s">
        <v>120</v>
      </c>
      <c r="D44" s="54">
        <v>6792.96</v>
      </c>
      <c r="E44" s="53"/>
    </row>
    <row r="45" spans="1:5" x14ac:dyDescent="0.25">
      <c r="A45" s="10" t="s">
        <v>121</v>
      </c>
      <c r="B45" s="10">
        <v>21301</v>
      </c>
      <c r="C45" s="8" t="s">
        <v>122</v>
      </c>
      <c r="D45" s="53">
        <v>33654.25</v>
      </c>
      <c r="E45" s="53"/>
    </row>
    <row r="46" spans="1:5" x14ac:dyDescent="0.25">
      <c r="A46" s="10" t="s">
        <v>123</v>
      </c>
      <c r="B46" s="10">
        <v>21401</v>
      </c>
      <c r="C46" s="8" t="s">
        <v>124</v>
      </c>
      <c r="D46" s="53"/>
      <c r="E46" s="53"/>
    </row>
    <row r="47" spans="1:5" x14ac:dyDescent="0.25">
      <c r="A47" s="10" t="s">
        <v>125</v>
      </c>
      <c r="B47" s="10">
        <v>21501</v>
      </c>
      <c r="C47" s="8" t="s">
        <v>126</v>
      </c>
      <c r="D47" s="53">
        <v>1106158.03</v>
      </c>
      <c r="E47" s="53"/>
    </row>
    <row r="48" spans="1:5" x14ac:dyDescent="0.25">
      <c r="A48" s="10" t="s">
        <v>127</v>
      </c>
      <c r="B48" s="10">
        <v>21601</v>
      </c>
      <c r="C48" s="8" t="s">
        <v>128</v>
      </c>
      <c r="D48" s="53">
        <v>1711608.39</v>
      </c>
      <c r="E48" s="53"/>
    </row>
    <row r="49" spans="1:6" x14ac:dyDescent="0.25">
      <c r="A49" s="10" t="s">
        <v>129</v>
      </c>
      <c r="B49" s="10">
        <v>21701</v>
      </c>
      <c r="C49" s="8" t="s">
        <v>130</v>
      </c>
      <c r="D49" s="53">
        <v>5940</v>
      </c>
      <c r="E49" s="53"/>
      <c r="F49" s="60"/>
    </row>
    <row r="50" spans="1:6" x14ac:dyDescent="0.25">
      <c r="A50" s="10" t="s">
        <v>131</v>
      </c>
      <c r="B50" s="10">
        <v>21801</v>
      </c>
      <c r="C50" s="8" t="s">
        <v>132</v>
      </c>
      <c r="D50" s="53">
        <f>6863+2000</f>
        <v>8863</v>
      </c>
      <c r="E50" s="53"/>
      <c r="F50" s="60"/>
    </row>
    <row r="51" spans="1:6" x14ac:dyDescent="0.25">
      <c r="A51" s="10" t="s">
        <v>133</v>
      </c>
      <c r="B51" s="10">
        <v>22101</v>
      </c>
      <c r="C51" s="8" t="s">
        <v>134</v>
      </c>
      <c r="D51" s="53">
        <f>324500+9300</f>
        <v>333800</v>
      </c>
      <c r="E51" s="53"/>
      <c r="F51" s="60"/>
    </row>
    <row r="52" spans="1:6" x14ac:dyDescent="0.25">
      <c r="A52" s="10" t="s">
        <v>135</v>
      </c>
      <c r="B52" s="10">
        <v>22201</v>
      </c>
      <c r="C52" s="8" t="s">
        <v>136</v>
      </c>
      <c r="D52" s="53">
        <v>488894.3</v>
      </c>
      <c r="E52" s="53"/>
      <c r="F52" s="60"/>
    </row>
    <row r="53" spans="1:6" x14ac:dyDescent="0.25">
      <c r="A53" s="10" t="s">
        <v>137</v>
      </c>
      <c r="B53" s="10">
        <v>23101</v>
      </c>
      <c r="C53" s="8" t="s">
        <v>138</v>
      </c>
      <c r="D53" s="53">
        <f>142192+136160</f>
        <v>278352</v>
      </c>
      <c r="E53" s="53"/>
      <c r="F53" s="60"/>
    </row>
    <row r="54" spans="1:6" x14ac:dyDescent="0.25">
      <c r="A54" s="10" t="s">
        <v>139</v>
      </c>
      <c r="B54" s="10">
        <v>23201</v>
      </c>
      <c r="C54" s="8" t="s">
        <v>140</v>
      </c>
      <c r="D54" s="53"/>
      <c r="E54" s="53"/>
    </row>
    <row r="55" spans="1:6" x14ac:dyDescent="0.25">
      <c r="A55" s="10" t="s">
        <v>141</v>
      </c>
      <c r="B55" s="10">
        <v>24101</v>
      </c>
      <c r="C55" s="8" t="s">
        <v>142</v>
      </c>
      <c r="D55" s="53"/>
      <c r="E55" s="53"/>
    </row>
    <row r="56" spans="1:6" x14ac:dyDescent="0.25">
      <c r="A56" s="10" t="s">
        <v>143</v>
      </c>
      <c r="B56" s="10">
        <v>24201</v>
      </c>
      <c r="C56" s="8" t="s">
        <v>144</v>
      </c>
      <c r="D56" s="53"/>
      <c r="E56" s="53"/>
    </row>
    <row r="57" spans="1:6" x14ac:dyDescent="0.25">
      <c r="A57" s="10" t="s">
        <v>145</v>
      </c>
      <c r="B57" s="10">
        <v>24401</v>
      </c>
      <c r="C57" s="8" t="s">
        <v>146</v>
      </c>
      <c r="D57" s="53"/>
      <c r="E57" s="53"/>
    </row>
    <row r="58" spans="1:6" x14ac:dyDescent="0.25">
      <c r="A58" s="10" t="s">
        <v>147</v>
      </c>
      <c r="B58" s="10">
        <v>25101</v>
      </c>
      <c r="C58" s="8" t="s">
        <v>148</v>
      </c>
      <c r="D58" s="53">
        <v>483435.89</v>
      </c>
      <c r="E58" s="53"/>
    </row>
    <row r="59" spans="1:6" x14ac:dyDescent="0.25">
      <c r="A59" s="10"/>
      <c r="B59" s="10">
        <v>25302</v>
      </c>
      <c r="C59" s="8" t="s">
        <v>149</v>
      </c>
      <c r="D59" s="53"/>
      <c r="E59" s="53"/>
    </row>
    <row r="60" spans="1:6" x14ac:dyDescent="0.25">
      <c r="A60" s="10"/>
      <c r="B60" s="10">
        <v>25303</v>
      </c>
      <c r="C60" s="8" t="s">
        <v>150</v>
      </c>
      <c r="D60" s="53"/>
      <c r="E60" s="53"/>
    </row>
    <row r="61" spans="1:6" ht="30" x14ac:dyDescent="0.25">
      <c r="A61" s="10"/>
      <c r="B61" s="10">
        <v>25304</v>
      </c>
      <c r="C61" s="8" t="s">
        <v>151</v>
      </c>
      <c r="D61" s="53"/>
      <c r="E61" s="53"/>
    </row>
    <row r="62" spans="1:6" ht="30" x14ac:dyDescent="0.25">
      <c r="A62" s="10" t="s">
        <v>152</v>
      </c>
      <c r="B62" s="10">
        <v>25401</v>
      </c>
      <c r="C62" s="8" t="s">
        <v>153</v>
      </c>
      <c r="D62" s="53"/>
      <c r="E62" s="53"/>
    </row>
    <row r="63" spans="1:6" x14ac:dyDescent="0.25">
      <c r="A63" s="10" t="s">
        <v>154</v>
      </c>
      <c r="B63" s="10">
        <v>25801</v>
      </c>
      <c r="C63" s="8" t="s">
        <v>155</v>
      </c>
      <c r="D63" s="53"/>
      <c r="E63" s="9"/>
    </row>
    <row r="64" spans="1:6" x14ac:dyDescent="0.25">
      <c r="A64" s="10"/>
      <c r="B64" s="10">
        <v>25901</v>
      </c>
      <c r="C64" s="8" t="s">
        <v>352</v>
      </c>
      <c r="D64" s="53">
        <v>19430.52</v>
      </c>
      <c r="E64" s="53"/>
    </row>
    <row r="65" spans="1:9" ht="30" x14ac:dyDescent="0.25">
      <c r="A65" s="10"/>
      <c r="B65" s="10">
        <v>26101</v>
      </c>
      <c r="C65" s="8" t="s">
        <v>156</v>
      </c>
      <c r="D65" s="53"/>
      <c r="E65" s="53"/>
    </row>
    <row r="66" spans="1:9" s="1" customFormat="1" x14ac:dyDescent="0.25">
      <c r="A66" s="10" t="s">
        <v>157</v>
      </c>
      <c r="B66" s="10">
        <v>26201</v>
      </c>
      <c r="C66" s="8" t="s">
        <v>158</v>
      </c>
      <c r="D66" s="53"/>
      <c r="E66" s="53"/>
      <c r="G66"/>
      <c r="H66"/>
      <c r="I66"/>
    </row>
    <row r="67" spans="1:9" s="1" customFormat="1" x14ac:dyDescent="0.25">
      <c r="A67" s="10" t="s">
        <v>159</v>
      </c>
      <c r="B67" s="10">
        <v>26301</v>
      </c>
      <c r="C67" s="8" t="s">
        <v>160</v>
      </c>
      <c r="D67" s="53">
        <v>746770.61</v>
      </c>
      <c r="E67" s="53"/>
      <c r="G67"/>
      <c r="H67"/>
      <c r="I67"/>
    </row>
    <row r="68" spans="1:9" s="1" customFormat="1" x14ac:dyDescent="0.25">
      <c r="A68" s="10" t="s">
        <v>161</v>
      </c>
      <c r="B68" s="10">
        <v>27101</v>
      </c>
      <c r="C68" s="8" t="s">
        <v>162</v>
      </c>
      <c r="D68" s="53"/>
      <c r="E68" s="9"/>
      <c r="G68"/>
      <c r="H68"/>
      <c r="I68"/>
    </row>
    <row r="69" spans="1:9" s="1" customFormat="1" x14ac:dyDescent="0.25">
      <c r="A69" s="10" t="s">
        <v>163</v>
      </c>
      <c r="B69" s="10">
        <v>27102</v>
      </c>
      <c r="C69" s="8" t="s">
        <v>164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165</v>
      </c>
      <c r="D70" s="53"/>
      <c r="E70" s="9"/>
      <c r="G70"/>
      <c r="H70"/>
      <c r="I70"/>
    </row>
    <row r="71" spans="1:9" s="1" customFormat="1" ht="30" x14ac:dyDescent="0.25">
      <c r="A71" s="10" t="s">
        <v>166</v>
      </c>
      <c r="B71" s="10">
        <v>27106</v>
      </c>
      <c r="C71" s="8" t="s">
        <v>167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168</v>
      </c>
      <c r="D72" s="53"/>
      <c r="E72" s="53"/>
      <c r="G72"/>
      <c r="H72"/>
      <c r="I72"/>
    </row>
    <row r="73" spans="1:9" s="1" customFormat="1" ht="30" x14ac:dyDescent="0.25">
      <c r="A73" s="10" t="s">
        <v>169</v>
      </c>
      <c r="B73" s="10">
        <v>27201</v>
      </c>
      <c r="C73" s="8" t="s">
        <v>170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171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172</v>
      </c>
      <c r="D75" s="53"/>
      <c r="E75" s="53"/>
      <c r="G75"/>
      <c r="H75"/>
      <c r="I75"/>
    </row>
    <row r="76" spans="1:9" s="1" customFormat="1" ht="30" x14ac:dyDescent="0.25">
      <c r="A76" s="10" t="s">
        <v>173</v>
      </c>
      <c r="B76" s="10">
        <v>27205</v>
      </c>
      <c r="C76" s="8" t="s">
        <v>174</v>
      </c>
      <c r="D76" s="53"/>
      <c r="E76" s="53"/>
      <c r="G76"/>
      <c r="H76"/>
      <c r="I76"/>
    </row>
    <row r="77" spans="1:9" s="1" customFormat="1" ht="30" x14ac:dyDescent="0.25">
      <c r="A77" s="10" t="s">
        <v>175</v>
      </c>
      <c r="B77" s="10">
        <v>27206</v>
      </c>
      <c r="C77" s="8" t="s">
        <v>176</v>
      </c>
      <c r="D77" s="53">
        <f>239337.94+13556.59</f>
        <v>252894.53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177</v>
      </c>
      <c r="D78" s="53"/>
      <c r="E78" s="53"/>
      <c r="G78"/>
      <c r="H78"/>
      <c r="I78"/>
    </row>
    <row r="79" spans="1:9" s="1" customFormat="1" x14ac:dyDescent="0.25">
      <c r="A79" s="10" t="s">
        <v>178</v>
      </c>
      <c r="B79" s="10">
        <v>28201</v>
      </c>
      <c r="C79" s="8" t="s">
        <v>179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180</v>
      </c>
      <c r="D80" s="53"/>
      <c r="E80" s="53"/>
      <c r="G80"/>
      <c r="H80"/>
      <c r="I80"/>
    </row>
    <row r="81" spans="1:9" s="1" customFormat="1" x14ac:dyDescent="0.25">
      <c r="A81" s="10" t="s">
        <v>181</v>
      </c>
      <c r="B81" s="10">
        <v>28401</v>
      </c>
      <c r="C81" s="8" t="s">
        <v>182</v>
      </c>
      <c r="D81" s="53"/>
      <c r="E81" s="53"/>
      <c r="G81"/>
      <c r="H81"/>
      <c r="I81"/>
    </row>
    <row r="82" spans="1:9" s="1" customFormat="1" x14ac:dyDescent="0.25">
      <c r="A82" s="10" t="s">
        <v>183</v>
      </c>
      <c r="B82" s="10">
        <v>28501</v>
      </c>
      <c r="C82" s="8" t="s">
        <v>184</v>
      </c>
      <c r="D82" s="53"/>
      <c r="E82" s="53"/>
      <c r="G82"/>
      <c r="H82"/>
      <c r="I82"/>
    </row>
    <row r="83" spans="1:9" s="1" customFormat="1" x14ac:dyDescent="0.25">
      <c r="A83" s="10" t="s">
        <v>185</v>
      </c>
      <c r="B83" s="10">
        <v>28502</v>
      </c>
      <c r="C83" s="8" t="s">
        <v>186</v>
      </c>
      <c r="D83" s="53"/>
      <c r="E83" s="53"/>
      <c r="G83"/>
      <c r="H83"/>
      <c r="I83"/>
    </row>
    <row r="84" spans="1:9" s="1" customFormat="1" x14ac:dyDescent="0.25">
      <c r="A84" s="10" t="s">
        <v>187</v>
      </c>
      <c r="B84" s="10">
        <v>28503</v>
      </c>
      <c r="C84" s="8" t="s">
        <v>188</v>
      </c>
      <c r="D84" s="53">
        <f>153733.45+224986.66</f>
        <v>378720.11</v>
      </c>
      <c r="E84" s="53"/>
      <c r="G84"/>
      <c r="H84"/>
      <c r="I84"/>
    </row>
    <row r="85" spans="1:9" s="1" customFormat="1" x14ac:dyDescent="0.25">
      <c r="A85" s="10" t="s">
        <v>189</v>
      </c>
      <c r="B85" s="10">
        <v>28601</v>
      </c>
      <c r="C85" s="8" t="s">
        <v>190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191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192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193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194</v>
      </c>
      <c r="D89" s="53">
        <v>36000</v>
      </c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195</v>
      </c>
      <c r="D90" s="53"/>
      <c r="E90" s="53"/>
      <c r="G90"/>
      <c r="H90"/>
      <c r="I90"/>
    </row>
    <row r="91" spans="1:9" s="1" customFormat="1" x14ac:dyDescent="0.25">
      <c r="A91" s="10" t="s">
        <v>196</v>
      </c>
      <c r="B91" s="10">
        <v>28706</v>
      </c>
      <c r="C91" s="8" t="s">
        <v>197</v>
      </c>
      <c r="D91" s="53">
        <v>40000</v>
      </c>
      <c r="E91" s="53"/>
      <c r="G91"/>
      <c r="H91"/>
      <c r="I91"/>
    </row>
    <row r="92" spans="1:9" s="1" customFormat="1" x14ac:dyDescent="0.25">
      <c r="A92" s="10" t="s">
        <v>198</v>
      </c>
      <c r="B92" s="10">
        <v>28801</v>
      </c>
      <c r="C92" s="8" t="s">
        <v>199</v>
      </c>
      <c r="D92" s="53">
        <v>5937.68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200</v>
      </c>
      <c r="D93" s="53">
        <v>14700</v>
      </c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200</v>
      </c>
      <c r="D94" s="53">
        <v>12051.14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200</v>
      </c>
      <c r="D95" s="53">
        <v>27918</v>
      </c>
      <c r="E95" s="53"/>
      <c r="G95"/>
      <c r="H95"/>
      <c r="I95"/>
    </row>
    <row r="96" spans="1:9" s="1" customFormat="1" x14ac:dyDescent="0.25">
      <c r="A96" s="10"/>
      <c r="B96" s="10">
        <v>29101</v>
      </c>
      <c r="C96" s="8" t="s">
        <v>201</v>
      </c>
      <c r="D96" s="53"/>
      <c r="E96" s="53"/>
      <c r="G96"/>
      <c r="H96"/>
      <c r="I96"/>
    </row>
    <row r="97" spans="1:9" s="1" customFormat="1" x14ac:dyDescent="0.25">
      <c r="A97" s="10"/>
      <c r="B97" s="10">
        <v>29201</v>
      </c>
      <c r="C97" s="8" t="s">
        <v>202</v>
      </c>
      <c r="D97" s="53">
        <v>1933312</v>
      </c>
      <c r="E97" s="53"/>
      <c r="G97"/>
      <c r="H97"/>
      <c r="I97"/>
    </row>
    <row r="98" spans="1:9" s="1" customFormat="1" x14ac:dyDescent="0.25">
      <c r="A98" s="51"/>
      <c r="B98" s="51">
        <v>3</v>
      </c>
      <c r="C98" s="63" t="s">
        <v>203</v>
      </c>
      <c r="D98" s="57"/>
      <c r="E98" s="57"/>
      <c r="G98"/>
      <c r="H98"/>
      <c r="I98"/>
    </row>
    <row r="99" spans="1:9" s="1" customFormat="1" x14ac:dyDescent="0.25">
      <c r="A99" s="10" t="s">
        <v>204</v>
      </c>
      <c r="B99" s="10">
        <v>31101</v>
      </c>
      <c r="C99" s="8" t="s">
        <v>205</v>
      </c>
      <c r="D99" s="53">
        <v>54190</v>
      </c>
      <c r="E99" s="53"/>
      <c r="G99"/>
      <c r="H99"/>
      <c r="I99"/>
    </row>
    <row r="100" spans="1:9" s="1" customFormat="1" x14ac:dyDescent="0.25">
      <c r="A100" s="10" t="s">
        <v>206</v>
      </c>
      <c r="B100" s="10">
        <v>31303</v>
      </c>
      <c r="C100" s="8" t="s">
        <v>207</v>
      </c>
      <c r="D100" s="53"/>
      <c r="E100" s="53"/>
      <c r="G100"/>
      <c r="H100"/>
      <c r="I100"/>
    </row>
    <row r="101" spans="1:9" s="1" customFormat="1" x14ac:dyDescent="0.25">
      <c r="A101" s="10" t="s">
        <v>208</v>
      </c>
      <c r="B101" s="10">
        <v>31401</v>
      </c>
      <c r="C101" s="8" t="s">
        <v>209</v>
      </c>
      <c r="D101" s="53"/>
      <c r="E101" s="53"/>
      <c r="G101"/>
      <c r="H101"/>
      <c r="I101"/>
    </row>
    <row r="102" spans="1:9" s="1" customFormat="1" x14ac:dyDescent="0.25">
      <c r="A102" s="10" t="s">
        <v>210</v>
      </c>
      <c r="B102" s="10">
        <v>32101</v>
      </c>
      <c r="C102" s="8" t="s">
        <v>211</v>
      </c>
      <c r="D102" s="53"/>
      <c r="E102" s="53"/>
      <c r="G102"/>
      <c r="H102"/>
      <c r="I102"/>
    </row>
    <row r="103" spans="1:9" s="1" customFormat="1" x14ac:dyDescent="0.25">
      <c r="A103" s="10" t="s">
        <v>212</v>
      </c>
      <c r="B103" s="10">
        <v>32201</v>
      </c>
      <c r="C103" s="8" t="s">
        <v>213</v>
      </c>
      <c r="D103" s="53"/>
      <c r="E103" s="53"/>
      <c r="G103"/>
      <c r="H103"/>
      <c r="I103"/>
    </row>
    <row r="104" spans="1:9" s="1" customFormat="1" x14ac:dyDescent="0.25">
      <c r="A104" s="10" t="s">
        <v>214</v>
      </c>
      <c r="B104" s="10">
        <v>32301</v>
      </c>
      <c r="C104" s="8" t="s">
        <v>215</v>
      </c>
      <c r="D104" s="53">
        <v>76700</v>
      </c>
      <c r="E104" s="53"/>
      <c r="G104"/>
      <c r="H104"/>
      <c r="I104"/>
    </row>
    <row r="105" spans="1:9" s="1" customFormat="1" x14ac:dyDescent="0.25">
      <c r="A105" s="10" t="s">
        <v>216</v>
      </c>
      <c r="B105" s="10">
        <v>32401</v>
      </c>
      <c r="C105" s="8" t="s">
        <v>217</v>
      </c>
      <c r="D105" s="53"/>
      <c r="E105" s="53"/>
      <c r="G105"/>
      <c r="H105"/>
      <c r="I105"/>
    </row>
    <row r="106" spans="1:9" s="1" customFormat="1" x14ac:dyDescent="0.25">
      <c r="A106" s="10" t="s">
        <v>218</v>
      </c>
      <c r="B106" s="10">
        <v>33101</v>
      </c>
      <c r="C106" s="8" t="s">
        <v>219</v>
      </c>
      <c r="D106" s="53"/>
      <c r="E106" s="53"/>
      <c r="G106"/>
      <c r="H106"/>
      <c r="I106"/>
    </row>
    <row r="107" spans="1:9" s="1" customFormat="1" x14ac:dyDescent="0.25">
      <c r="A107" s="10" t="s">
        <v>220</v>
      </c>
      <c r="B107" s="10">
        <v>33201</v>
      </c>
      <c r="C107" s="8" t="s">
        <v>221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33301</v>
      </c>
      <c r="C108" s="8" t="s">
        <v>223</v>
      </c>
      <c r="D108" s="53"/>
      <c r="E108" s="53"/>
      <c r="G108"/>
      <c r="H108"/>
      <c r="I108"/>
    </row>
    <row r="109" spans="1:9" s="1" customFormat="1" x14ac:dyDescent="0.25">
      <c r="A109" s="10" t="s">
        <v>224</v>
      </c>
      <c r="B109" s="10">
        <v>33401</v>
      </c>
      <c r="C109" s="8" t="s">
        <v>225</v>
      </c>
      <c r="D109" s="53">
        <v>12250</v>
      </c>
      <c r="E109" s="53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227</v>
      </c>
      <c r="D110" s="53"/>
      <c r="E110" s="53"/>
      <c r="G110"/>
      <c r="H110"/>
      <c r="I110"/>
    </row>
    <row r="111" spans="1:9" s="1" customFormat="1" x14ac:dyDescent="0.25">
      <c r="A111" s="10" t="s">
        <v>228</v>
      </c>
      <c r="B111" s="10">
        <v>34101</v>
      </c>
      <c r="C111" s="8" t="s">
        <v>229</v>
      </c>
      <c r="D111" s="53"/>
      <c r="E111" s="53"/>
      <c r="G111"/>
      <c r="H111"/>
      <c r="I111"/>
    </row>
    <row r="112" spans="1:9" s="1" customFormat="1" x14ac:dyDescent="0.25">
      <c r="A112" s="10" t="s">
        <v>230</v>
      </c>
      <c r="B112" s="10">
        <v>35101</v>
      </c>
      <c r="C112" s="8" t="s">
        <v>231</v>
      </c>
      <c r="D112" s="53"/>
      <c r="E112" s="53"/>
      <c r="G112"/>
      <c r="H112"/>
      <c r="I112"/>
    </row>
    <row r="113" spans="1:9" s="1" customFormat="1" x14ac:dyDescent="0.25">
      <c r="A113" s="10" t="s">
        <v>232</v>
      </c>
      <c r="B113" s="10">
        <v>35201</v>
      </c>
      <c r="C113" s="8" t="s">
        <v>233</v>
      </c>
      <c r="D113" s="53"/>
      <c r="E113" s="53"/>
      <c r="G113"/>
      <c r="H113"/>
      <c r="I113"/>
    </row>
    <row r="114" spans="1:9" x14ac:dyDescent="0.25">
      <c r="A114" s="10" t="s">
        <v>234</v>
      </c>
      <c r="B114" s="10">
        <v>35301</v>
      </c>
      <c r="C114" s="8" t="s">
        <v>235</v>
      </c>
      <c r="D114" s="53"/>
      <c r="E114" s="53"/>
    </row>
    <row r="115" spans="1:9" x14ac:dyDescent="0.25">
      <c r="A115" s="10" t="s">
        <v>236</v>
      </c>
      <c r="B115" s="10">
        <v>35401</v>
      </c>
      <c r="C115" s="8" t="s">
        <v>237</v>
      </c>
      <c r="D115" s="53"/>
      <c r="E115" s="53"/>
    </row>
    <row r="116" spans="1:9" x14ac:dyDescent="0.25">
      <c r="A116" s="10" t="s">
        <v>238</v>
      </c>
      <c r="B116" s="10">
        <v>35501</v>
      </c>
      <c r="C116" s="8" t="s">
        <v>239</v>
      </c>
      <c r="D116" s="53"/>
      <c r="E116" s="53"/>
    </row>
    <row r="117" spans="1:9" x14ac:dyDescent="0.25">
      <c r="A117" s="10" t="s">
        <v>240</v>
      </c>
      <c r="B117" s="10">
        <v>36101</v>
      </c>
      <c r="C117" s="8" t="s">
        <v>241</v>
      </c>
      <c r="D117" s="53"/>
      <c r="E117" s="53"/>
    </row>
    <row r="118" spans="1:9" x14ac:dyDescent="0.25">
      <c r="A118" s="10"/>
      <c r="B118" s="10">
        <v>36102</v>
      </c>
      <c r="C118" s="8" t="s">
        <v>242</v>
      </c>
      <c r="D118" s="53"/>
      <c r="E118" s="53"/>
    </row>
    <row r="119" spans="1:9" x14ac:dyDescent="0.25">
      <c r="A119" s="10" t="s">
        <v>243</v>
      </c>
      <c r="B119" s="10">
        <v>36104</v>
      </c>
      <c r="C119" s="8" t="s">
        <v>244</v>
      </c>
      <c r="D119" s="53"/>
      <c r="E119" s="53"/>
    </row>
    <row r="120" spans="1:9" x14ac:dyDescent="0.25">
      <c r="A120" s="10" t="s">
        <v>245</v>
      </c>
      <c r="B120" s="10">
        <v>36201</v>
      </c>
      <c r="C120" s="8" t="s">
        <v>246</v>
      </c>
      <c r="D120" s="53"/>
      <c r="E120" s="53"/>
    </row>
    <row r="121" spans="1:9" x14ac:dyDescent="0.25">
      <c r="A121" s="10" t="s">
        <v>247</v>
      </c>
      <c r="B121" s="10">
        <v>36202</v>
      </c>
      <c r="C121" s="8" t="s">
        <v>248</v>
      </c>
      <c r="D121" s="53"/>
      <c r="E121" s="53"/>
    </row>
    <row r="122" spans="1:9" x14ac:dyDescent="0.25">
      <c r="A122" s="10" t="s">
        <v>249</v>
      </c>
      <c r="B122" s="10">
        <v>36203</v>
      </c>
      <c r="C122" s="8" t="s">
        <v>250</v>
      </c>
      <c r="D122" s="53"/>
      <c r="E122" s="53"/>
    </row>
    <row r="123" spans="1:9" x14ac:dyDescent="0.25">
      <c r="A123" s="10" t="s">
        <v>251</v>
      </c>
      <c r="B123" s="10">
        <v>36301</v>
      </c>
      <c r="C123" s="8" t="s">
        <v>252</v>
      </c>
      <c r="D123" s="53"/>
      <c r="E123" s="53"/>
    </row>
    <row r="124" spans="1:9" x14ac:dyDescent="0.25">
      <c r="A124" s="10"/>
      <c r="B124" s="10">
        <v>36302</v>
      </c>
      <c r="C124" s="8" t="s">
        <v>248</v>
      </c>
      <c r="D124" s="53"/>
      <c r="E124" s="53"/>
    </row>
    <row r="125" spans="1:9" x14ac:dyDescent="0.25">
      <c r="A125" s="10" t="s">
        <v>253</v>
      </c>
      <c r="B125" s="10">
        <v>36303</v>
      </c>
      <c r="C125" s="8" t="s">
        <v>254</v>
      </c>
      <c r="D125" s="53"/>
      <c r="E125" s="53"/>
    </row>
    <row r="126" spans="1:9" x14ac:dyDescent="0.25">
      <c r="A126" s="10" t="s">
        <v>255</v>
      </c>
      <c r="B126" s="10">
        <v>36304</v>
      </c>
      <c r="C126" s="8" t="s">
        <v>256</v>
      </c>
      <c r="D126" s="53"/>
      <c r="E126" s="53"/>
    </row>
    <row r="127" spans="1:9" s="1" customFormat="1" x14ac:dyDescent="0.25">
      <c r="A127" s="10" t="s">
        <v>255</v>
      </c>
      <c r="B127" s="10">
        <v>36306</v>
      </c>
      <c r="C127" s="8" t="s">
        <v>257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36307</v>
      </c>
      <c r="C128" s="52" t="s">
        <v>258</v>
      </c>
      <c r="D128" s="53"/>
      <c r="E128" s="53"/>
      <c r="G128"/>
      <c r="H128"/>
      <c r="I128"/>
    </row>
    <row r="129" spans="1:9" s="1" customFormat="1" x14ac:dyDescent="0.25">
      <c r="A129" s="10"/>
      <c r="B129" s="51">
        <v>36401</v>
      </c>
      <c r="C129" s="52"/>
      <c r="D129" s="53"/>
      <c r="E129" s="53"/>
      <c r="G129"/>
      <c r="H129"/>
      <c r="I129"/>
    </row>
    <row r="130" spans="1:9" s="1" customFormat="1" x14ac:dyDescent="0.25">
      <c r="A130" s="10" t="s">
        <v>243</v>
      </c>
      <c r="B130" s="51">
        <v>36403</v>
      </c>
      <c r="C130" s="52" t="s">
        <v>259</v>
      </c>
      <c r="D130" s="53"/>
      <c r="E130" s="53"/>
      <c r="G130"/>
      <c r="H130"/>
      <c r="I130"/>
    </row>
    <row r="131" spans="1:9" s="1" customFormat="1" x14ac:dyDescent="0.25">
      <c r="A131" s="10" t="s">
        <v>260</v>
      </c>
      <c r="B131" s="51">
        <v>37101</v>
      </c>
      <c r="C131" s="52" t="s">
        <v>261</v>
      </c>
      <c r="D131" s="53">
        <f>1200000+440000</f>
        <v>1640000</v>
      </c>
      <c r="E131" s="53"/>
      <c r="G131"/>
      <c r="H131"/>
      <c r="I131"/>
    </row>
    <row r="132" spans="1:9" s="1" customFormat="1" x14ac:dyDescent="0.25">
      <c r="A132" s="10" t="s">
        <v>262</v>
      </c>
      <c r="B132" s="51">
        <v>37102</v>
      </c>
      <c r="C132" s="52" t="s">
        <v>263</v>
      </c>
      <c r="D132" s="53">
        <f>3120000+1000000</f>
        <v>4120000</v>
      </c>
      <c r="E132" s="53"/>
      <c r="G132"/>
      <c r="H132"/>
      <c r="I132"/>
    </row>
    <row r="133" spans="1:9" s="1" customFormat="1" x14ac:dyDescent="0.25">
      <c r="A133" s="10" t="s">
        <v>264</v>
      </c>
      <c r="B133" s="51">
        <v>37104</v>
      </c>
      <c r="C133" s="52" t="s">
        <v>265</v>
      </c>
      <c r="D133" s="53"/>
      <c r="E133" s="53"/>
      <c r="G133"/>
      <c r="H133"/>
      <c r="I133"/>
    </row>
    <row r="134" spans="1:9" s="1" customFormat="1" x14ac:dyDescent="0.25">
      <c r="A134" s="10" t="s">
        <v>266</v>
      </c>
      <c r="B134" s="51">
        <v>37105</v>
      </c>
      <c r="C134" s="52" t="s">
        <v>267</v>
      </c>
      <c r="D134" s="53"/>
      <c r="E134" s="53"/>
      <c r="G134"/>
      <c r="H134"/>
      <c r="I134"/>
    </row>
    <row r="135" spans="1:9" s="1" customFormat="1" x14ac:dyDescent="0.25">
      <c r="A135" s="10" t="s">
        <v>268</v>
      </c>
      <c r="B135" s="51">
        <v>37106</v>
      </c>
      <c r="C135" s="52" t="s">
        <v>269</v>
      </c>
      <c r="D135" s="53"/>
      <c r="E135" s="53"/>
      <c r="G135"/>
      <c r="H135"/>
      <c r="I135"/>
    </row>
    <row r="136" spans="1:9" s="1" customFormat="1" x14ac:dyDescent="0.25">
      <c r="A136" s="10"/>
      <c r="B136" s="51">
        <v>37201</v>
      </c>
      <c r="C136" s="52" t="s">
        <v>270</v>
      </c>
      <c r="D136" s="53"/>
      <c r="E136" s="53"/>
      <c r="G136"/>
      <c r="H136"/>
      <c r="I136"/>
    </row>
    <row r="137" spans="1:9" s="1" customFormat="1" x14ac:dyDescent="0.25">
      <c r="A137" s="10" t="s">
        <v>271</v>
      </c>
      <c r="B137" s="10">
        <v>37203</v>
      </c>
      <c r="C137" s="8" t="s">
        <v>272</v>
      </c>
      <c r="D137" s="53"/>
      <c r="E137" s="53"/>
      <c r="G137"/>
      <c r="H137"/>
      <c r="I137"/>
    </row>
    <row r="138" spans="1:9" s="1" customFormat="1" x14ac:dyDescent="0.25">
      <c r="A138" s="10" t="s">
        <v>273</v>
      </c>
      <c r="B138" s="10">
        <v>37205</v>
      </c>
      <c r="C138" s="8" t="s">
        <v>274</v>
      </c>
      <c r="D138" s="53"/>
      <c r="E138" s="53"/>
      <c r="G138"/>
      <c r="H138"/>
      <c r="I138"/>
    </row>
    <row r="139" spans="1:9" s="1" customFormat="1" x14ac:dyDescent="0.25">
      <c r="A139" s="10" t="s">
        <v>275</v>
      </c>
      <c r="B139" s="10">
        <v>37206</v>
      </c>
      <c r="C139" s="8" t="s">
        <v>276</v>
      </c>
      <c r="D139" s="53"/>
      <c r="E139" s="53"/>
      <c r="G139"/>
      <c r="H139"/>
      <c r="I139"/>
    </row>
    <row r="140" spans="1:9" s="1" customFormat="1" x14ac:dyDescent="0.25">
      <c r="A140" s="10"/>
      <c r="B140" s="51">
        <v>37299</v>
      </c>
      <c r="C140" s="52" t="s">
        <v>277</v>
      </c>
      <c r="D140" s="53"/>
      <c r="E140" s="53"/>
      <c r="G140"/>
      <c r="H140"/>
      <c r="I140"/>
    </row>
    <row r="141" spans="1:9" s="1" customFormat="1" x14ac:dyDescent="0.25">
      <c r="A141" s="10" t="s">
        <v>278</v>
      </c>
      <c r="B141" s="51">
        <v>39101</v>
      </c>
      <c r="C141" s="52" t="s">
        <v>279</v>
      </c>
      <c r="D141" s="53"/>
      <c r="E141" s="53"/>
      <c r="G141"/>
      <c r="H141"/>
      <c r="I141"/>
    </row>
    <row r="142" spans="1:9" s="1" customFormat="1" ht="30" x14ac:dyDescent="0.25">
      <c r="A142" s="10" t="s">
        <v>280</v>
      </c>
      <c r="B142" s="51">
        <v>39201</v>
      </c>
      <c r="C142" s="52" t="s">
        <v>281</v>
      </c>
      <c r="D142" s="53">
        <v>495600</v>
      </c>
      <c r="E142" s="53"/>
      <c r="G142"/>
      <c r="H142"/>
      <c r="I142"/>
    </row>
    <row r="143" spans="1:9" s="1" customFormat="1" ht="30" x14ac:dyDescent="0.25">
      <c r="A143" s="10"/>
      <c r="B143" s="51">
        <v>39301</v>
      </c>
      <c r="C143" s="52" t="s">
        <v>282</v>
      </c>
      <c r="D143" s="53"/>
      <c r="E143" s="53"/>
      <c r="G143"/>
      <c r="H143"/>
      <c r="I143"/>
    </row>
    <row r="144" spans="1:9" s="1" customFormat="1" x14ac:dyDescent="0.25">
      <c r="A144" s="10" t="s">
        <v>283</v>
      </c>
      <c r="B144" s="51">
        <v>39501</v>
      </c>
      <c r="C144" s="52" t="s">
        <v>284</v>
      </c>
      <c r="D144" s="53"/>
      <c r="E144" s="53"/>
      <c r="G144"/>
      <c r="H144"/>
      <c r="I144"/>
    </row>
    <row r="145" spans="1:9" s="1" customFormat="1" x14ac:dyDescent="0.25">
      <c r="A145" s="10" t="s">
        <v>285</v>
      </c>
      <c r="B145" s="10">
        <v>39601</v>
      </c>
      <c r="C145" s="8" t="s">
        <v>286</v>
      </c>
      <c r="D145" s="53"/>
      <c r="E145" s="53"/>
      <c r="G145"/>
      <c r="H145"/>
      <c r="I145"/>
    </row>
    <row r="146" spans="1:9" s="1" customFormat="1" x14ac:dyDescent="0.25">
      <c r="A146" s="10" t="s">
        <v>287</v>
      </c>
      <c r="B146" s="10">
        <v>39801</v>
      </c>
      <c r="C146" s="8" t="s">
        <v>288</v>
      </c>
      <c r="D146" s="53">
        <v>56618.05</v>
      </c>
      <c r="E146" s="53"/>
      <c r="G146"/>
      <c r="H146"/>
      <c r="I146"/>
    </row>
    <row r="147" spans="1:9" s="1" customFormat="1" x14ac:dyDescent="0.25">
      <c r="A147" s="10"/>
      <c r="B147" s="10">
        <v>39802</v>
      </c>
      <c r="C147" s="8" t="s">
        <v>353</v>
      </c>
      <c r="D147" s="53"/>
      <c r="E147" s="53"/>
      <c r="G147"/>
      <c r="H147"/>
      <c r="I147"/>
    </row>
    <row r="148" spans="1:9" s="1" customFormat="1" x14ac:dyDescent="0.25">
      <c r="A148" s="10" t="s">
        <v>289</v>
      </c>
      <c r="B148" s="10">
        <v>39901</v>
      </c>
      <c r="C148" s="8" t="s">
        <v>290</v>
      </c>
      <c r="D148" s="53"/>
      <c r="E148" s="53"/>
      <c r="G148"/>
      <c r="H148"/>
      <c r="I148"/>
    </row>
    <row r="149" spans="1:9" s="1" customFormat="1" x14ac:dyDescent="0.25">
      <c r="A149" s="10" t="s">
        <v>289</v>
      </c>
      <c r="B149" s="10">
        <v>39902</v>
      </c>
      <c r="C149" s="8" t="s">
        <v>291</v>
      </c>
      <c r="D149" s="53"/>
      <c r="E149" s="53"/>
      <c r="G149"/>
      <c r="H149"/>
      <c r="I149"/>
    </row>
    <row r="150" spans="1:9" s="1" customFormat="1" x14ac:dyDescent="0.25">
      <c r="A150" s="10"/>
      <c r="B150" s="10">
        <v>39904</v>
      </c>
      <c r="C150" s="8" t="s">
        <v>292</v>
      </c>
      <c r="D150" s="53"/>
      <c r="E150" s="53"/>
      <c r="G150"/>
      <c r="H150"/>
      <c r="I150"/>
    </row>
    <row r="151" spans="1:9" s="1" customFormat="1" x14ac:dyDescent="0.25">
      <c r="A151" s="10"/>
      <c r="B151" s="10">
        <v>39905</v>
      </c>
      <c r="C151" s="8" t="s">
        <v>293</v>
      </c>
      <c r="D151" s="53"/>
      <c r="E151" s="53"/>
      <c r="G151"/>
      <c r="H151"/>
      <c r="I151"/>
    </row>
    <row r="152" spans="1:9" s="1" customFormat="1" ht="26.25" x14ac:dyDescent="0.25">
      <c r="A152" s="51"/>
      <c r="B152" s="51">
        <v>4</v>
      </c>
      <c r="C152" s="63" t="s">
        <v>294</v>
      </c>
      <c r="D152" s="57">
        <f>SUM(D153:D163)</f>
        <v>0</v>
      </c>
      <c r="E152" s="57"/>
      <c r="G152"/>
      <c r="H152"/>
      <c r="I152"/>
    </row>
    <row r="153" spans="1:9" s="1" customFormat="1" x14ac:dyDescent="0.25">
      <c r="A153" s="10" t="s">
        <v>295</v>
      </c>
      <c r="B153" s="10">
        <v>41103</v>
      </c>
      <c r="C153" s="8" t="s">
        <v>296</v>
      </c>
      <c r="D153" s="53"/>
      <c r="E153" s="53"/>
      <c r="G153"/>
      <c r="H153"/>
      <c r="I153"/>
    </row>
    <row r="154" spans="1:9" s="1" customFormat="1" ht="30" x14ac:dyDescent="0.25">
      <c r="A154" s="10" t="s">
        <v>297</v>
      </c>
      <c r="B154" s="10">
        <v>41201</v>
      </c>
      <c r="C154" s="8" t="s">
        <v>298</v>
      </c>
      <c r="D154" s="53"/>
      <c r="E154" s="53"/>
      <c r="G154"/>
      <c r="H154"/>
      <c r="I154"/>
    </row>
    <row r="155" spans="1:9" s="1" customFormat="1" ht="30" x14ac:dyDescent="0.25">
      <c r="A155" s="10" t="s">
        <v>299</v>
      </c>
      <c r="B155" s="10">
        <v>41202</v>
      </c>
      <c r="C155" s="8" t="s">
        <v>300</v>
      </c>
      <c r="D155" s="53"/>
      <c r="E155" s="53"/>
      <c r="G155"/>
      <c r="H155"/>
      <c r="I155"/>
    </row>
    <row r="156" spans="1:9" s="1" customFormat="1" x14ac:dyDescent="0.25">
      <c r="A156" s="10"/>
      <c r="B156" s="10">
        <v>41401</v>
      </c>
      <c r="C156" s="8" t="s">
        <v>301</v>
      </c>
      <c r="D156" s="9"/>
      <c r="E156" s="9"/>
      <c r="G156"/>
      <c r="H156"/>
      <c r="I156"/>
    </row>
    <row r="157" spans="1:9" s="1" customFormat="1" x14ac:dyDescent="0.25">
      <c r="A157" s="10" t="s">
        <v>302</v>
      </c>
      <c r="B157" s="10">
        <v>41402</v>
      </c>
      <c r="C157" s="8" t="s">
        <v>303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304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305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306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307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308</v>
      </c>
      <c r="D162" s="9"/>
      <c r="E162" s="9"/>
      <c r="G162"/>
      <c r="H162"/>
      <c r="I162"/>
    </row>
    <row r="163" spans="1:9" s="1" customFormat="1" x14ac:dyDescent="0.25">
      <c r="A163" s="10" t="s">
        <v>309</v>
      </c>
      <c r="B163" s="10">
        <v>44102</v>
      </c>
      <c r="C163" s="8" t="s">
        <v>310</v>
      </c>
      <c r="D163" s="9"/>
      <c r="E163" s="9"/>
      <c r="G163"/>
      <c r="H163"/>
      <c r="I163"/>
    </row>
    <row r="164" spans="1:9" s="1" customFormat="1" x14ac:dyDescent="0.25">
      <c r="A164" s="51"/>
      <c r="B164" s="51">
        <v>62501</v>
      </c>
      <c r="C164" s="52" t="s">
        <v>311</v>
      </c>
      <c r="D164" s="73"/>
      <c r="E164" s="68"/>
      <c r="G164"/>
      <c r="H164"/>
      <c r="I164"/>
    </row>
    <row r="165" spans="1:9" s="1" customFormat="1" x14ac:dyDescent="0.25">
      <c r="A165" s="51"/>
      <c r="B165" s="51" t="s">
        <v>358</v>
      </c>
      <c r="C165" s="52"/>
      <c r="D165" s="73">
        <v>138000</v>
      </c>
      <c r="E165" s="68"/>
      <c r="G165"/>
      <c r="H165"/>
      <c r="I165"/>
    </row>
    <row r="166" spans="1:9" s="1" customFormat="1" x14ac:dyDescent="0.25">
      <c r="A166" s="10"/>
      <c r="B166" s="10"/>
      <c r="C166" s="8" t="s">
        <v>77</v>
      </c>
      <c r="D166" s="15"/>
      <c r="E166" s="62">
        <f>+E9-E16</f>
        <v>857084184.32000005</v>
      </c>
      <c r="G166"/>
      <c r="H166"/>
      <c r="I166"/>
    </row>
    <row r="167" spans="1:9" s="1" customFormat="1" x14ac:dyDescent="0.25">
      <c r="A167" s="10"/>
      <c r="B167" s="10" t="s">
        <v>314</v>
      </c>
      <c r="C167" s="8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8" t="s">
        <v>77</v>
      </c>
      <c r="D168" s="17"/>
      <c r="E168" s="10"/>
      <c r="G168"/>
      <c r="H168"/>
      <c r="I168"/>
    </row>
    <row r="169" spans="1:9" s="1" customFormat="1" x14ac:dyDescent="0.25">
      <c r="A169" s="10"/>
      <c r="B169" s="10"/>
      <c r="C169" s="8" t="s">
        <v>315</v>
      </c>
      <c r="D169" s="10"/>
      <c r="E169" s="17">
        <f>+D168</f>
        <v>0</v>
      </c>
      <c r="G169"/>
      <c r="H169"/>
      <c r="I169"/>
    </row>
    <row r="170" spans="1:9" s="1" customFormat="1" x14ac:dyDescent="0.25">
      <c r="A170" s="10"/>
      <c r="B170" s="10" t="s">
        <v>316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8" t="s">
        <v>42</v>
      </c>
      <c r="D171" s="17"/>
      <c r="E171" s="10"/>
      <c r="G171"/>
      <c r="H171"/>
      <c r="I171"/>
    </row>
    <row r="172" spans="1:9" s="1" customFormat="1" x14ac:dyDescent="0.25">
      <c r="A172" s="10"/>
      <c r="B172" s="10"/>
      <c r="C172" s="8" t="s">
        <v>315</v>
      </c>
      <c r="D172" s="10"/>
      <c r="E172" s="17">
        <f>+E169</f>
        <v>0</v>
      </c>
      <c r="G172"/>
      <c r="H172"/>
      <c r="I172"/>
    </row>
    <row r="173" spans="1:9" s="1" customFormat="1" x14ac:dyDescent="0.25">
      <c r="A173" s="10"/>
      <c r="B173" s="10" t="s">
        <v>317</v>
      </c>
      <c r="C173" s="10"/>
      <c r="D173" s="10"/>
      <c r="E173" s="10"/>
      <c r="G173"/>
      <c r="H173"/>
      <c r="I173"/>
    </row>
    <row r="174" spans="1:9" s="1" customFormat="1" x14ac:dyDescent="0.25">
      <c r="A174" s="51"/>
      <c r="B174" s="97" t="s">
        <v>318</v>
      </c>
      <c r="C174" s="98"/>
      <c r="D174" s="66">
        <f>+E9-E16</f>
        <v>857084184.32000005</v>
      </c>
      <c r="E174" s="67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37"/>
      <c r="G178"/>
      <c r="H178"/>
      <c r="I178"/>
    </row>
    <row r="179" spans="1:9" s="1" customFormat="1" x14ac:dyDescent="0.25">
      <c r="A179"/>
      <c r="B179"/>
      <c r="C179"/>
      <c r="D179"/>
      <c r="E179" s="37"/>
      <c r="G179"/>
      <c r="H179"/>
      <c r="I179"/>
    </row>
    <row r="182" spans="1:9" s="1" customFormat="1" ht="26.25" x14ac:dyDescent="0.25">
      <c r="A182" s="23" t="s">
        <v>319</v>
      </c>
      <c r="B182" s="11">
        <v>6</v>
      </c>
      <c r="C182" s="5" t="s">
        <v>320</v>
      </c>
      <c r="D182" s="12">
        <f>SUM(D183:D204)</f>
        <v>218182</v>
      </c>
      <c r="E182" s="19"/>
      <c r="G182"/>
      <c r="H182"/>
      <c r="I182"/>
    </row>
    <row r="183" spans="1:9" s="1" customFormat="1" x14ac:dyDescent="0.25">
      <c r="A183" s="26">
        <v>1206010007</v>
      </c>
      <c r="B183" s="10">
        <v>61101</v>
      </c>
      <c r="C183" s="8" t="s">
        <v>321</v>
      </c>
      <c r="D183" s="53">
        <v>218182</v>
      </c>
      <c r="E183" s="20"/>
      <c r="G183"/>
      <c r="H183"/>
      <c r="I183"/>
    </row>
    <row r="184" spans="1:9" s="1" customFormat="1" x14ac:dyDescent="0.25">
      <c r="A184" s="26">
        <v>1206010004</v>
      </c>
      <c r="B184" s="10">
        <v>61301</v>
      </c>
      <c r="C184" s="8" t="s">
        <v>322</v>
      </c>
      <c r="D184" s="53"/>
      <c r="E184" s="20"/>
      <c r="G184"/>
      <c r="H184"/>
      <c r="I184"/>
    </row>
    <row r="185" spans="1:9" s="1" customFormat="1" x14ac:dyDescent="0.25">
      <c r="A185" s="26">
        <v>1206010007</v>
      </c>
      <c r="B185" s="10">
        <v>61401</v>
      </c>
      <c r="C185" s="8" t="s">
        <v>323</v>
      </c>
      <c r="D185" s="53"/>
      <c r="E185" s="20"/>
      <c r="G185"/>
      <c r="H185"/>
      <c r="I185"/>
    </row>
    <row r="186" spans="1:9" s="1" customFormat="1" ht="30" x14ac:dyDescent="0.25">
      <c r="A186" s="26">
        <v>1206010001</v>
      </c>
      <c r="B186" s="10">
        <v>61901</v>
      </c>
      <c r="C186" s="8" t="s">
        <v>324</v>
      </c>
      <c r="D186" s="53"/>
      <c r="E186" s="20"/>
      <c r="G186"/>
      <c r="H186"/>
      <c r="I186"/>
    </row>
    <row r="187" spans="1:9" s="1" customFormat="1" x14ac:dyDescent="0.25">
      <c r="A187" s="26">
        <v>1206010002</v>
      </c>
      <c r="B187" s="10">
        <v>62101</v>
      </c>
      <c r="C187" s="8" t="s">
        <v>325</v>
      </c>
      <c r="D187" s="53"/>
      <c r="E187" s="20"/>
      <c r="G187"/>
      <c r="H187"/>
      <c r="I187"/>
    </row>
    <row r="188" spans="1:9" s="1" customFormat="1" x14ac:dyDescent="0.25">
      <c r="A188" s="26">
        <v>1206010002</v>
      </c>
      <c r="B188" s="10">
        <v>62301</v>
      </c>
      <c r="C188" s="8" t="s">
        <v>326</v>
      </c>
      <c r="D188" s="53"/>
      <c r="E188" s="20"/>
      <c r="G188"/>
      <c r="H188"/>
      <c r="I188"/>
    </row>
    <row r="189" spans="1:9" s="1" customFormat="1" x14ac:dyDescent="0.25">
      <c r="A189" s="26"/>
      <c r="B189" s="10">
        <v>63201</v>
      </c>
      <c r="C189" s="8" t="s">
        <v>327</v>
      </c>
      <c r="D189" s="53"/>
      <c r="E189" s="20"/>
      <c r="G189"/>
      <c r="H189"/>
      <c r="I189"/>
    </row>
    <row r="190" spans="1:9" s="1" customFormat="1" ht="30" x14ac:dyDescent="0.25">
      <c r="A190" s="26"/>
      <c r="B190" s="10">
        <v>63401</v>
      </c>
      <c r="C190" s="8" t="s">
        <v>328</v>
      </c>
      <c r="D190" s="53"/>
      <c r="E190" s="20"/>
      <c r="G190"/>
      <c r="H190"/>
      <c r="I190"/>
    </row>
    <row r="191" spans="1:9" s="1" customFormat="1" x14ac:dyDescent="0.25">
      <c r="A191" s="26">
        <v>1206010003</v>
      </c>
      <c r="B191" s="10">
        <v>64101</v>
      </c>
      <c r="C191" s="8" t="s">
        <v>329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64601</v>
      </c>
      <c r="C192" s="8" t="s">
        <v>330</v>
      </c>
      <c r="D192" s="53"/>
      <c r="E192" s="20"/>
      <c r="G192"/>
      <c r="H192"/>
      <c r="I192"/>
    </row>
    <row r="193" spans="1:9" s="1" customFormat="1" x14ac:dyDescent="0.25">
      <c r="A193" s="26"/>
      <c r="B193" s="51">
        <v>64701</v>
      </c>
      <c r="C193" s="52" t="s">
        <v>331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51">
        <v>64801</v>
      </c>
      <c r="C194" s="52" t="s">
        <v>332</v>
      </c>
      <c r="D194" s="53"/>
      <c r="E194" s="20"/>
      <c r="G194"/>
      <c r="H194"/>
      <c r="I194"/>
    </row>
    <row r="195" spans="1:9" s="1" customFormat="1" x14ac:dyDescent="0.25">
      <c r="A195" s="26">
        <v>1206010001</v>
      </c>
      <c r="B195" s="10">
        <v>65201</v>
      </c>
      <c r="C195" s="8" t="s">
        <v>333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65401</v>
      </c>
      <c r="C196" s="8" t="s">
        <v>334</v>
      </c>
      <c r="D196" s="53"/>
      <c r="E196" s="20"/>
      <c r="G196"/>
      <c r="H196"/>
      <c r="I196"/>
    </row>
    <row r="197" spans="1:9" s="1" customFormat="1" x14ac:dyDescent="0.25">
      <c r="A197" s="26">
        <v>1206010006</v>
      </c>
      <c r="B197" s="10">
        <v>65501</v>
      </c>
      <c r="C197" s="8" t="s">
        <v>335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65601</v>
      </c>
      <c r="C198" s="8" t="s">
        <v>336</v>
      </c>
      <c r="D198" s="53"/>
      <c r="E198" s="20"/>
      <c r="G198"/>
      <c r="H198"/>
      <c r="I198"/>
    </row>
    <row r="199" spans="1:9" s="1" customFormat="1" x14ac:dyDescent="0.25">
      <c r="A199" s="26">
        <v>1206010008</v>
      </c>
      <c r="B199" s="10">
        <v>65701</v>
      </c>
      <c r="C199" s="8" t="s">
        <v>337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65801</v>
      </c>
      <c r="C200" s="8" t="s">
        <v>338</v>
      </c>
      <c r="D200" s="53"/>
      <c r="E200" s="20"/>
      <c r="G200"/>
      <c r="H200"/>
      <c r="I200"/>
    </row>
    <row r="201" spans="1:9" s="1" customFormat="1" x14ac:dyDescent="0.25">
      <c r="A201" s="26">
        <v>1206980001</v>
      </c>
      <c r="B201" s="10">
        <v>66201</v>
      </c>
      <c r="C201" s="8" t="s">
        <v>339</v>
      </c>
      <c r="D201" s="53"/>
      <c r="E201" s="20"/>
      <c r="G201"/>
      <c r="H201"/>
      <c r="I201"/>
    </row>
    <row r="202" spans="1:9" s="1" customFormat="1" x14ac:dyDescent="0.25">
      <c r="A202" s="26">
        <v>1208010003</v>
      </c>
      <c r="B202" s="10">
        <v>68301</v>
      </c>
      <c r="C202" s="8" t="s">
        <v>340</v>
      </c>
      <c r="D202" s="53"/>
      <c r="E202" s="20"/>
      <c r="G202"/>
      <c r="H202"/>
      <c r="I202"/>
    </row>
    <row r="203" spans="1:9" s="1" customFormat="1" x14ac:dyDescent="0.25">
      <c r="A203" s="26">
        <v>1206020002</v>
      </c>
      <c r="B203" s="10">
        <v>69201</v>
      </c>
      <c r="C203" s="8" t="s">
        <v>341</v>
      </c>
      <c r="D203" s="9"/>
      <c r="E203" s="20"/>
      <c r="G203"/>
      <c r="H203"/>
      <c r="I203"/>
    </row>
    <row r="204" spans="1:9" s="1" customFormat="1" x14ac:dyDescent="0.25">
      <c r="A204" s="26">
        <v>1206980004</v>
      </c>
      <c r="B204" s="10">
        <v>69502</v>
      </c>
      <c r="C204" s="8" t="s">
        <v>342</v>
      </c>
      <c r="D204" s="9"/>
      <c r="E204" s="20"/>
      <c r="G204"/>
      <c r="H204"/>
      <c r="I204"/>
    </row>
    <row r="205" spans="1:9" s="1" customFormat="1" ht="30" x14ac:dyDescent="0.25">
      <c r="A205" s="26"/>
      <c r="B205" s="10">
        <v>69601</v>
      </c>
      <c r="C205" s="8" t="s">
        <v>359</v>
      </c>
      <c r="D205" s="53">
        <v>4381512.22</v>
      </c>
      <c r="E205" s="20"/>
      <c r="G205"/>
      <c r="H205"/>
      <c r="I205"/>
    </row>
    <row r="206" spans="1:9" s="1" customFormat="1" x14ac:dyDescent="0.25">
      <c r="A206" s="27"/>
      <c r="B206" s="51">
        <v>7</v>
      </c>
      <c r="C206" s="63" t="s">
        <v>343</v>
      </c>
      <c r="D206" s="57">
        <f>SUM(D207:D208)</f>
        <v>0</v>
      </c>
      <c r="E206" s="25"/>
      <c r="G206"/>
      <c r="H206"/>
      <c r="I206"/>
    </row>
    <row r="207" spans="1:9" s="1" customFormat="1" ht="30" x14ac:dyDescent="0.25">
      <c r="A207" s="27" t="s">
        <v>344</v>
      </c>
      <c r="B207" s="10">
        <v>71201</v>
      </c>
      <c r="C207" s="8" t="s">
        <v>345</v>
      </c>
      <c r="D207" s="24"/>
      <c r="E207" s="25"/>
      <c r="G207"/>
      <c r="H207"/>
      <c r="I207"/>
    </row>
    <row r="208" spans="1:9" s="1" customFormat="1" x14ac:dyDescent="0.25">
      <c r="A208" s="27" t="s">
        <v>346</v>
      </c>
      <c r="B208" s="10">
        <v>71501</v>
      </c>
      <c r="C208" s="8" t="s">
        <v>347</v>
      </c>
      <c r="D208" s="24"/>
      <c r="E208" s="25"/>
      <c r="G208"/>
      <c r="H208"/>
      <c r="I208"/>
    </row>
    <row r="209" spans="1:9" s="1" customFormat="1" x14ac:dyDescent="0.25">
      <c r="A209" s="72"/>
      <c r="B209" s="51"/>
      <c r="C209" s="52"/>
      <c r="D209" s="71">
        <f>+D182+D206</f>
        <v>218182</v>
      </c>
      <c r="E209" s="19"/>
      <c r="G209"/>
      <c r="H209"/>
      <c r="I209"/>
    </row>
    <row r="210" spans="1:9" s="1" customFormat="1" x14ac:dyDescent="0.25">
      <c r="A210"/>
      <c r="B210"/>
      <c r="C210" s="2" t="s">
        <v>348</v>
      </c>
      <c r="E210" s="21"/>
      <c r="G210"/>
      <c r="H210"/>
      <c r="I210"/>
    </row>
    <row r="211" spans="1:9" s="1" customFormat="1" x14ac:dyDescent="0.25">
      <c r="A211"/>
      <c r="B211"/>
      <c r="C211" s="2" t="s">
        <v>349</v>
      </c>
      <c r="E211" s="21"/>
      <c r="G211"/>
      <c r="H211"/>
      <c r="I211"/>
    </row>
    <row r="212" spans="1:9" s="1" customFormat="1" x14ac:dyDescent="0.25">
      <c r="A212"/>
      <c r="B212"/>
      <c r="C212"/>
      <c r="D212"/>
      <c r="E212" s="2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zoomScale="120" zoomScaleNormal="120" zoomScaleSheetLayoutView="100" workbookViewId="0">
      <selection activeCell="D46" sqref="D4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360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64</v>
      </c>
      <c r="B10" s="7" t="s">
        <v>65</v>
      </c>
      <c r="C10" s="8" t="s">
        <v>66</v>
      </c>
      <c r="D10" s="53">
        <v>347054693.31999999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553449849.10000002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6256983.6600000001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" t="s">
        <v>77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78</v>
      </c>
      <c r="D16" s="64">
        <f>+D18+D22+D23+D25+D29+D33+D34+D35+D40+D41+D42+D44+D45+D46+D47+D48+D49+D50+D51+D53+D57+D58+D64+D67+D77+D78+D82+D84+D88+D91+D92+D94+D95+D96+D98+D99+D112+D117+D128+D136+D147+D148+D153+D186+D200</f>
        <v>134193899.59000002</v>
      </c>
      <c r="E16" s="64">
        <f>+D16</f>
        <v>134193899.59000002</v>
      </c>
    </row>
    <row r="17" spans="1:9" x14ac:dyDescent="0.25">
      <c r="A17" s="51"/>
      <c r="B17" s="51">
        <v>1</v>
      </c>
      <c r="C17" s="63" t="s">
        <v>79</v>
      </c>
      <c r="D17" s="57">
        <f>SUM(D18:D42)</f>
        <v>54430520.339999996</v>
      </c>
      <c r="E17" s="57" t="s">
        <v>3</v>
      </c>
    </row>
    <row r="18" spans="1:9" x14ac:dyDescent="0.25">
      <c r="A18" s="51" t="s">
        <v>80</v>
      </c>
      <c r="B18" s="51">
        <v>11101</v>
      </c>
      <c r="C18" s="52" t="s">
        <v>81</v>
      </c>
      <c r="D18" s="74">
        <f>19021936.2+950000</f>
        <v>19971936.199999999</v>
      </c>
      <c r="E18" s="77"/>
    </row>
    <row r="19" spans="1:9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30" x14ac:dyDescent="0.25">
      <c r="A22" s="10" t="s">
        <v>88</v>
      </c>
      <c r="B22" s="10">
        <v>11205</v>
      </c>
      <c r="C22" s="8" t="s">
        <v>89</v>
      </c>
      <c r="D22" s="75">
        <v>42000</v>
      </c>
      <c r="E22" s="9"/>
    </row>
    <row r="23" spans="1:9" ht="30" x14ac:dyDescent="0.25">
      <c r="A23" s="10"/>
      <c r="B23" s="10">
        <v>11208</v>
      </c>
      <c r="C23" s="8" t="s">
        <v>90</v>
      </c>
      <c r="D23" s="75">
        <v>6195000</v>
      </c>
      <c r="E23" s="9"/>
    </row>
    <row r="24" spans="1:9" ht="30" x14ac:dyDescent="0.25">
      <c r="A24" s="10"/>
      <c r="B24" s="10">
        <v>11210</v>
      </c>
      <c r="C24" s="8" t="s">
        <v>91</v>
      </c>
      <c r="D24" s="53"/>
      <c r="E24" s="53"/>
    </row>
    <row r="25" spans="1:9" x14ac:dyDescent="0.25">
      <c r="A25" s="10"/>
      <c r="B25" s="10">
        <v>11211</v>
      </c>
      <c r="C25" s="8" t="s">
        <v>92</v>
      </c>
      <c r="D25" s="74">
        <v>98000</v>
      </c>
      <c r="E25" s="53"/>
    </row>
    <row r="26" spans="1:9" x14ac:dyDescent="0.25">
      <c r="A26" s="10" t="s">
        <v>93</v>
      </c>
      <c r="B26" s="10">
        <v>11401</v>
      </c>
      <c r="C26" s="8" t="s">
        <v>94</v>
      </c>
      <c r="D26" s="53"/>
      <c r="E26" s="53"/>
    </row>
    <row r="27" spans="1:9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30" x14ac:dyDescent="0.25">
      <c r="A28" s="10"/>
      <c r="B28" s="10">
        <v>11503</v>
      </c>
      <c r="C28" s="8" t="s">
        <v>97</v>
      </c>
      <c r="D28" s="53"/>
      <c r="E28" s="53"/>
    </row>
    <row r="29" spans="1:9" x14ac:dyDescent="0.25">
      <c r="A29" s="10"/>
      <c r="B29" s="10">
        <v>11504</v>
      </c>
      <c r="C29" s="8" t="s">
        <v>98</v>
      </c>
      <c r="D29" s="77">
        <v>412551.91</v>
      </c>
      <c r="E29" s="53"/>
    </row>
    <row r="30" spans="1:9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100</v>
      </c>
      <c r="D31" s="53"/>
      <c r="E31" s="53"/>
    </row>
    <row r="32" spans="1:9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5" x14ac:dyDescent="0.25">
      <c r="A33" s="10" t="s">
        <v>103</v>
      </c>
      <c r="B33" s="10">
        <v>12205</v>
      </c>
      <c r="C33" s="8" t="s">
        <v>104</v>
      </c>
      <c r="D33" s="74">
        <v>1460000</v>
      </c>
      <c r="E33" s="53"/>
    </row>
    <row r="34" spans="1:5" x14ac:dyDescent="0.25">
      <c r="A34" s="10" t="s">
        <v>105</v>
      </c>
      <c r="B34" s="10">
        <v>12206</v>
      </c>
      <c r="C34" s="8" t="s">
        <v>106</v>
      </c>
      <c r="D34" s="74">
        <v>15623472.210000001</v>
      </c>
      <c r="E34" s="53"/>
    </row>
    <row r="35" spans="1:5" x14ac:dyDescent="0.25">
      <c r="A35" s="10" t="s">
        <v>107</v>
      </c>
      <c r="B35" s="10">
        <v>12209</v>
      </c>
      <c r="C35" s="8" t="s">
        <v>108</v>
      </c>
      <c r="D35" s="74">
        <v>6642635</v>
      </c>
      <c r="E35" s="53"/>
    </row>
    <row r="36" spans="1:5" x14ac:dyDescent="0.25">
      <c r="A36" s="10"/>
      <c r="B36" s="10">
        <v>12210</v>
      </c>
      <c r="C36" s="8" t="s">
        <v>109</v>
      </c>
      <c r="D36" s="53"/>
      <c r="E36" s="53"/>
    </row>
    <row r="37" spans="1:5" ht="30" x14ac:dyDescent="0.25">
      <c r="A37" s="10"/>
      <c r="B37" s="10">
        <v>12215</v>
      </c>
      <c r="C37" s="8" t="s">
        <v>100</v>
      </c>
      <c r="D37" s="53"/>
      <c r="E37" s="53"/>
    </row>
    <row r="38" spans="1:5" x14ac:dyDescent="0.25">
      <c r="A38" s="10"/>
      <c r="B38" s="10">
        <v>13201</v>
      </c>
      <c r="C38" s="8" t="s">
        <v>110</v>
      </c>
      <c r="D38" s="53"/>
      <c r="E38" s="53"/>
    </row>
    <row r="39" spans="1:5" x14ac:dyDescent="0.25">
      <c r="A39" s="10" t="s">
        <v>111</v>
      </c>
      <c r="B39" s="10">
        <v>13101</v>
      </c>
      <c r="C39" s="8" t="s">
        <v>112</v>
      </c>
      <c r="D39" s="53"/>
      <c r="E39" s="53"/>
    </row>
    <row r="40" spans="1:5" x14ac:dyDescent="0.25">
      <c r="A40" s="10" t="s">
        <v>113</v>
      </c>
      <c r="B40" s="10">
        <v>15101</v>
      </c>
      <c r="C40" s="8" t="s">
        <v>114</v>
      </c>
      <c r="D40" s="76">
        <f>1790548.39+67355</f>
        <v>1857903.39</v>
      </c>
      <c r="E40" s="77"/>
    </row>
    <row r="41" spans="1:5" x14ac:dyDescent="0.25">
      <c r="A41" s="10" t="s">
        <v>115</v>
      </c>
      <c r="B41" s="10">
        <v>15201</v>
      </c>
      <c r="C41" s="8" t="s">
        <v>116</v>
      </c>
      <c r="D41" s="74">
        <f>1800342.48+67450</f>
        <v>1867792.48</v>
      </c>
      <c r="E41" s="77"/>
    </row>
    <row r="42" spans="1:5" ht="30" x14ac:dyDescent="0.25">
      <c r="A42" s="10"/>
      <c r="B42" s="10">
        <v>15301</v>
      </c>
      <c r="C42" s="8" t="s">
        <v>117</v>
      </c>
      <c r="D42" s="74">
        <f>248779.15+10450</f>
        <v>259229.15</v>
      </c>
      <c r="E42" s="77"/>
    </row>
    <row r="43" spans="1:5" x14ac:dyDescent="0.25">
      <c r="A43" s="51"/>
      <c r="B43" s="51">
        <v>2</v>
      </c>
      <c r="C43" s="63" t="s">
        <v>118</v>
      </c>
      <c r="D43" s="57"/>
      <c r="E43" s="57"/>
    </row>
    <row r="44" spans="1:5" x14ac:dyDescent="0.25">
      <c r="A44" s="10" t="s">
        <v>119</v>
      </c>
      <c r="B44" s="10">
        <v>21201</v>
      </c>
      <c r="C44" s="8" t="s">
        <v>120</v>
      </c>
      <c r="D44" s="76">
        <v>18889.310000000001</v>
      </c>
      <c r="E44" s="53"/>
    </row>
    <row r="45" spans="1:5" x14ac:dyDescent="0.25">
      <c r="A45" s="10" t="s">
        <v>121</v>
      </c>
      <c r="B45" s="10">
        <v>21301</v>
      </c>
      <c r="C45" s="8" t="s">
        <v>122</v>
      </c>
      <c r="D45" s="74">
        <v>57143.86</v>
      </c>
      <c r="E45" s="53"/>
    </row>
    <row r="46" spans="1:5" x14ac:dyDescent="0.25">
      <c r="A46" s="10" t="s">
        <v>123</v>
      </c>
      <c r="B46" s="10">
        <v>21401</v>
      </c>
      <c r="C46" s="8" t="s">
        <v>124</v>
      </c>
      <c r="D46" s="79">
        <v>200</v>
      </c>
      <c r="E46" s="53"/>
    </row>
    <row r="47" spans="1:5" x14ac:dyDescent="0.25">
      <c r="A47" s="10" t="s">
        <v>125</v>
      </c>
      <c r="B47" s="10">
        <v>21501</v>
      </c>
      <c r="C47" s="8" t="s">
        <v>126</v>
      </c>
      <c r="D47" s="74">
        <v>1275905.67</v>
      </c>
      <c r="E47" s="53"/>
    </row>
    <row r="48" spans="1:5" x14ac:dyDescent="0.25">
      <c r="A48" s="10" t="s">
        <v>127</v>
      </c>
      <c r="B48" s="10">
        <v>21601</v>
      </c>
      <c r="C48" s="8" t="s">
        <v>128</v>
      </c>
      <c r="D48" s="74">
        <v>1954792.84</v>
      </c>
      <c r="E48" s="53"/>
    </row>
    <row r="49" spans="1:6" x14ac:dyDescent="0.25">
      <c r="A49" s="10" t="s">
        <v>129</v>
      </c>
      <c r="B49" s="10">
        <v>21701</v>
      </c>
      <c r="C49" s="8" t="s">
        <v>130</v>
      </c>
      <c r="D49" s="74">
        <f>900+5940</f>
        <v>6840</v>
      </c>
      <c r="E49" s="78"/>
      <c r="F49" s="60"/>
    </row>
    <row r="50" spans="1:6" x14ac:dyDescent="0.25">
      <c r="A50" s="10" t="s">
        <v>131</v>
      </c>
      <c r="B50" s="10">
        <v>21801</v>
      </c>
      <c r="C50" s="8" t="s">
        <v>132</v>
      </c>
      <c r="D50" s="78">
        <f>1000+2000</f>
        <v>3000</v>
      </c>
      <c r="E50" s="78"/>
      <c r="F50" s="60"/>
    </row>
    <row r="51" spans="1:6" x14ac:dyDescent="0.25">
      <c r="A51" s="10" t="s">
        <v>133</v>
      </c>
      <c r="B51" s="10">
        <v>22101</v>
      </c>
      <c r="C51" s="8" t="s">
        <v>134</v>
      </c>
      <c r="D51" s="77">
        <v>99200</v>
      </c>
      <c r="E51" s="53"/>
      <c r="F51" s="60"/>
    </row>
    <row r="52" spans="1:6" x14ac:dyDescent="0.25">
      <c r="A52" s="10" t="s">
        <v>135</v>
      </c>
      <c r="B52" s="10">
        <v>22201</v>
      </c>
      <c r="C52" s="8" t="s">
        <v>136</v>
      </c>
      <c r="D52" s="53"/>
      <c r="E52" s="53"/>
      <c r="F52" s="60"/>
    </row>
    <row r="53" spans="1:6" x14ac:dyDescent="0.25">
      <c r="A53" s="10" t="s">
        <v>137</v>
      </c>
      <c r="B53" s="10">
        <v>23101</v>
      </c>
      <c r="C53" s="8" t="s">
        <v>138</v>
      </c>
      <c r="D53" s="77">
        <f>954600+10000+14830+16050+47920</f>
        <v>1043400</v>
      </c>
      <c r="E53" s="78"/>
      <c r="F53" s="60"/>
    </row>
    <row r="54" spans="1:6" x14ac:dyDescent="0.25">
      <c r="A54" s="10" t="s">
        <v>139</v>
      </c>
      <c r="B54" s="10">
        <v>23201</v>
      </c>
      <c r="C54" s="8" t="s">
        <v>140</v>
      </c>
      <c r="D54" s="53"/>
      <c r="E54" s="53"/>
    </row>
    <row r="55" spans="1:6" x14ac:dyDescent="0.25">
      <c r="A55" s="10" t="s">
        <v>141</v>
      </c>
      <c r="B55" s="10">
        <v>24101</v>
      </c>
      <c r="C55" s="8" t="s">
        <v>142</v>
      </c>
      <c r="D55" s="53"/>
      <c r="E55" s="53"/>
    </row>
    <row r="56" spans="1:6" x14ac:dyDescent="0.25">
      <c r="A56" s="10" t="s">
        <v>143</v>
      </c>
      <c r="B56" s="10">
        <v>24201</v>
      </c>
      <c r="C56" s="8" t="s">
        <v>144</v>
      </c>
      <c r="D56" s="53"/>
      <c r="E56" s="53"/>
    </row>
    <row r="57" spans="1:6" x14ac:dyDescent="0.25">
      <c r="A57" s="10" t="s">
        <v>145</v>
      </c>
      <c r="B57" s="10">
        <v>24401</v>
      </c>
      <c r="C57" s="8" t="s">
        <v>146</v>
      </c>
      <c r="D57" s="79">
        <v>920</v>
      </c>
      <c r="E57" s="53"/>
    </row>
    <row r="58" spans="1:6" x14ac:dyDescent="0.25">
      <c r="A58" s="10" t="s">
        <v>147</v>
      </c>
      <c r="B58" s="10">
        <v>25101</v>
      </c>
      <c r="C58" s="8" t="s">
        <v>148</v>
      </c>
      <c r="D58" s="74">
        <v>483435.89</v>
      </c>
      <c r="E58" s="53"/>
    </row>
    <row r="59" spans="1:6" x14ac:dyDescent="0.25">
      <c r="A59" s="10"/>
      <c r="B59" s="10">
        <v>25302</v>
      </c>
      <c r="C59" s="8" t="s">
        <v>149</v>
      </c>
      <c r="D59" s="53"/>
      <c r="E59" s="53"/>
    </row>
    <row r="60" spans="1:6" x14ac:dyDescent="0.25">
      <c r="A60" s="10"/>
      <c r="B60" s="10">
        <v>25303</v>
      </c>
      <c r="C60" s="8" t="s">
        <v>150</v>
      </c>
      <c r="D60" s="53"/>
      <c r="E60" s="53"/>
    </row>
    <row r="61" spans="1:6" ht="30" x14ac:dyDescent="0.25">
      <c r="A61" s="10"/>
      <c r="B61" s="10">
        <v>25304</v>
      </c>
      <c r="C61" s="8" t="s">
        <v>151</v>
      </c>
      <c r="D61" s="53"/>
      <c r="E61" s="53"/>
    </row>
    <row r="62" spans="1:6" ht="30" x14ac:dyDescent="0.25">
      <c r="A62" s="10" t="s">
        <v>152</v>
      </c>
      <c r="B62" s="10">
        <v>25401</v>
      </c>
      <c r="C62" s="8" t="s">
        <v>153</v>
      </c>
      <c r="D62" s="53"/>
      <c r="E62" s="53"/>
    </row>
    <row r="63" spans="1:6" x14ac:dyDescent="0.25">
      <c r="A63" s="10" t="s">
        <v>154</v>
      </c>
      <c r="B63" s="10">
        <v>25801</v>
      </c>
      <c r="C63" s="8" t="s">
        <v>155</v>
      </c>
      <c r="D63" s="53"/>
      <c r="E63" s="9"/>
    </row>
    <row r="64" spans="1:6" x14ac:dyDescent="0.25">
      <c r="A64" s="10"/>
      <c r="B64" s="10">
        <v>25901</v>
      </c>
      <c r="C64" s="8" t="s">
        <v>352</v>
      </c>
      <c r="D64" s="77">
        <v>2108890.64</v>
      </c>
      <c r="E64" s="53"/>
    </row>
    <row r="65" spans="1:9" ht="30" x14ac:dyDescent="0.25">
      <c r="A65" s="10"/>
      <c r="B65" s="10">
        <v>26101</v>
      </c>
      <c r="C65" s="8" t="s">
        <v>156</v>
      </c>
      <c r="D65" s="53"/>
      <c r="E65" s="53"/>
    </row>
    <row r="66" spans="1:9" s="1" customFormat="1" x14ac:dyDescent="0.25">
      <c r="A66" s="10" t="s">
        <v>157</v>
      </c>
      <c r="B66" s="10">
        <v>26201</v>
      </c>
      <c r="C66" s="8" t="s">
        <v>158</v>
      </c>
      <c r="D66" s="53"/>
      <c r="E66" s="53"/>
      <c r="G66"/>
      <c r="H66"/>
      <c r="I66"/>
    </row>
    <row r="67" spans="1:9" s="1" customFormat="1" x14ac:dyDescent="0.25">
      <c r="A67" s="10" t="s">
        <v>159</v>
      </c>
      <c r="B67" s="10">
        <v>26301</v>
      </c>
      <c r="C67" s="8" t="s">
        <v>160</v>
      </c>
      <c r="D67" s="77">
        <v>753330.02</v>
      </c>
      <c r="E67" s="53"/>
      <c r="G67"/>
      <c r="H67"/>
      <c r="I67"/>
    </row>
    <row r="68" spans="1:9" s="1" customFormat="1" x14ac:dyDescent="0.25">
      <c r="A68" s="10" t="s">
        <v>161</v>
      </c>
      <c r="B68" s="10">
        <v>27101</v>
      </c>
      <c r="C68" s="8" t="s">
        <v>162</v>
      </c>
      <c r="D68" s="53"/>
      <c r="E68" s="9"/>
      <c r="G68"/>
      <c r="H68"/>
      <c r="I68"/>
    </row>
    <row r="69" spans="1:9" s="1" customFormat="1" x14ac:dyDescent="0.25">
      <c r="A69" s="10" t="s">
        <v>163</v>
      </c>
      <c r="B69" s="10">
        <v>27102</v>
      </c>
      <c r="C69" s="8" t="s">
        <v>164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165</v>
      </c>
      <c r="D70" s="53"/>
      <c r="E70" s="9"/>
      <c r="G70"/>
      <c r="H70"/>
      <c r="I70"/>
    </row>
    <row r="71" spans="1:9" s="1" customFormat="1" ht="30" x14ac:dyDescent="0.25">
      <c r="A71" s="10" t="s">
        <v>166</v>
      </c>
      <c r="B71" s="10">
        <v>27106</v>
      </c>
      <c r="C71" s="8" t="s">
        <v>167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168</v>
      </c>
      <c r="D72" s="53"/>
      <c r="E72" s="53"/>
      <c r="G72"/>
      <c r="H72"/>
      <c r="I72"/>
    </row>
    <row r="73" spans="1:9" s="1" customFormat="1" ht="30" x14ac:dyDescent="0.25">
      <c r="A73" s="10" t="s">
        <v>169</v>
      </c>
      <c r="B73" s="10">
        <v>27201</v>
      </c>
      <c r="C73" s="8" t="s">
        <v>170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171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172</v>
      </c>
      <c r="D75" s="53"/>
      <c r="E75" s="53"/>
      <c r="G75"/>
      <c r="H75"/>
      <c r="I75"/>
    </row>
    <row r="76" spans="1:9" s="1" customFormat="1" ht="30" x14ac:dyDescent="0.25">
      <c r="A76" s="10" t="s">
        <v>173</v>
      </c>
      <c r="B76" s="10">
        <v>27205</v>
      </c>
      <c r="C76" s="8" t="s">
        <v>174</v>
      </c>
      <c r="D76" s="53"/>
      <c r="E76" s="53"/>
      <c r="G76"/>
      <c r="H76"/>
      <c r="I76"/>
    </row>
    <row r="77" spans="1:9" s="1" customFormat="1" ht="30" x14ac:dyDescent="0.25">
      <c r="A77" s="10" t="s">
        <v>175</v>
      </c>
      <c r="B77" s="10">
        <v>27206</v>
      </c>
      <c r="C77" s="8" t="s">
        <v>176</v>
      </c>
      <c r="D77" s="77">
        <f>937996.28+27980.94</f>
        <v>965977.22</v>
      </c>
      <c r="E77" s="7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177</v>
      </c>
      <c r="D78" s="77">
        <v>772900</v>
      </c>
      <c r="E78" s="53"/>
      <c r="G78"/>
      <c r="H78"/>
      <c r="I78"/>
    </row>
    <row r="79" spans="1:9" s="1" customFormat="1" x14ac:dyDescent="0.25">
      <c r="A79" s="10" t="s">
        <v>178</v>
      </c>
      <c r="B79" s="10">
        <v>28201</v>
      </c>
      <c r="C79" s="8" t="s">
        <v>179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180</v>
      </c>
      <c r="D80" s="53"/>
      <c r="E80" s="53"/>
      <c r="G80"/>
      <c r="H80"/>
      <c r="I80"/>
    </row>
    <row r="81" spans="1:9" s="1" customFormat="1" x14ac:dyDescent="0.25">
      <c r="A81" s="10" t="s">
        <v>181</v>
      </c>
      <c r="B81" s="10">
        <v>28401</v>
      </c>
      <c r="C81" s="8" t="s">
        <v>182</v>
      </c>
      <c r="D81" s="53"/>
      <c r="E81" s="53"/>
      <c r="G81"/>
      <c r="H81"/>
      <c r="I81"/>
    </row>
    <row r="82" spans="1:9" s="1" customFormat="1" x14ac:dyDescent="0.25">
      <c r="A82" s="10" t="s">
        <v>183</v>
      </c>
      <c r="B82" s="10">
        <v>28501</v>
      </c>
      <c r="C82" s="8" t="s">
        <v>184</v>
      </c>
      <c r="D82" s="77">
        <v>66080</v>
      </c>
      <c r="E82" s="53"/>
      <c r="G82"/>
      <c r="H82"/>
      <c r="I82"/>
    </row>
    <row r="83" spans="1:9" s="1" customFormat="1" x14ac:dyDescent="0.25">
      <c r="A83" s="10" t="s">
        <v>185</v>
      </c>
      <c r="B83" s="10">
        <v>28502</v>
      </c>
      <c r="C83" s="8" t="s">
        <v>186</v>
      </c>
      <c r="D83" s="53"/>
      <c r="E83" s="53"/>
      <c r="G83"/>
      <c r="H83"/>
      <c r="I83"/>
    </row>
    <row r="84" spans="1:9" s="1" customFormat="1" x14ac:dyDescent="0.25">
      <c r="A84" s="10" t="s">
        <v>187</v>
      </c>
      <c r="B84" s="10">
        <v>28503</v>
      </c>
      <c r="C84" s="8" t="s">
        <v>188</v>
      </c>
      <c r="D84" s="74">
        <f>153733.45+88500</f>
        <v>242233.45</v>
      </c>
      <c r="E84" s="77"/>
      <c r="G84"/>
      <c r="H84"/>
      <c r="I84"/>
    </row>
    <row r="85" spans="1:9" s="1" customFormat="1" x14ac:dyDescent="0.25">
      <c r="A85" s="10" t="s">
        <v>189</v>
      </c>
      <c r="B85" s="10">
        <v>28601</v>
      </c>
      <c r="C85" s="8" t="s">
        <v>190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191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192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193</v>
      </c>
      <c r="D88" s="77">
        <v>120000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194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195</v>
      </c>
      <c r="D90" s="53"/>
      <c r="E90" s="53"/>
      <c r="G90"/>
      <c r="H90"/>
      <c r="I90"/>
    </row>
    <row r="91" spans="1:9" s="1" customFormat="1" x14ac:dyDescent="0.25">
      <c r="A91" s="10" t="s">
        <v>196</v>
      </c>
      <c r="B91" s="10">
        <v>28706</v>
      </c>
      <c r="C91" s="8" t="s">
        <v>197</v>
      </c>
      <c r="D91" s="77">
        <f>E91+56640+1062</f>
        <v>57702</v>
      </c>
      <c r="E91" s="78"/>
      <c r="G91"/>
      <c r="H91"/>
      <c r="I91"/>
    </row>
    <row r="92" spans="1:9" s="1" customFormat="1" x14ac:dyDescent="0.25">
      <c r="A92" s="10" t="s">
        <v>198</v>
      </c>
      <c r="B92" s="10">
        <v>28801</v>
      </c>
      <c r="C92" s="8" t="s">
        <v>199</v>
      </c>
      <c r="D92" s="78">
        <v>5036.57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200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200</v>
      </c>
      <c r="D94" s="78">
        <v>5536.36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200</v>
      </c>
      <c r="D95" s="78">
        <v>732.06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361</v>
      </c>
      <c r="D96" s="78">
        <v>50000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201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202</v>
      </c>
      <c r="D98" s="74">
        <v>923609.59999999998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362</v>
      </c>
      <c r="D99" s="74">
        <v>750303</v>
      </c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203</v>
      </c>
      <c r="D100" s="57"/>
      <c r="E100" s="57"/>
      <c r="G100"/>
      <c r="H100"/>
      <c r="I100"/>
    </row>
    <row r="101" spans="1:9" s="1" customFormat="1" x14ac:dyDescent="0.25">
      <c r="A101" s="10" t="s">
        <v>204</v>
      </c>
      <c r="B101" s="10">
        <v>31101</v>
      </c>
      <c r="C101" s="8" t="s">
        <v>205</v>
      </c>
      <c r="D101" s="53"/>
      <c r="E101" s="53"/>
      <c r="G101"/>
      <c r="H101"/>
      <c r="I101"/>
    </row>
    <row r="102" spans="1:9" s="1" customFormat="1" x14ac:dyDescent="0.25">
      <c r="A102" s="10" t="s">
        <v>206</v>
      </c>
      <c r="B102" s="10">
        <v>31303</v>
      </c>
      <c r="C102" s="8" t="s">
        <v>207</v>
      </c>
      <c r="D102" s="53"/>
      <c r="E102" s="53"/>
      <c r="G102"/>
      <c r="H102"/>
      <c r="I102"/>
    </row>
    <row r="103" spans="1:9" s="1" customFormat="1" x14ac:dyDescent="0.25">
      <c r="A103" s="10" t="s">
        <v>208</v>
      </c>
      <c r="B103" s="10">
        <v>31401</v>
      </c>
      <c r="C103" s="8" t="s">
        <v>209</v>
      </c>
      <c r="D103" s="53"/>
      <c r="E103" s="53"/>
      <c r="G103"/>
      <c r="H103"/>
      <c r="I103"/>
    </row>
    <row r="104" spans="1:9" s="1" customFormat="1" x14ac:dyDescent="0.25">
      <c r="A104" s="10" t="s">
        <v>210</v>
      </c>
      <c r="B104" s="10">
        <v>32101</v>
      </c>
      <c r="C104" s="8" t="s">
        <v>211</v>
      </c>
      <c r="D104" s="53"/>
      <c r="E104" s="53"/>
      <c r="G104"/>
      <c r="H104"/>
      <c r="I104"/>
    </row>
    <row r="105" spans="1:9" s="1" customFormat="1" x14ac:dyDescent="0.25">
      <c r="A105" s="10" t="s">
        <v>212</v>
      </c>
      <c r="B105" s="10">
        <v>32201</v>
      </c>
      <c r="C105" s="8" t="s">
        <v>213</v>
      </c>
      <c r="D105" s="53"/>
      <c r="E105" s="53"/>
      <c r="G105"/>
      <c r="H105"/>
      <c r="I105"/>
    </row>
    <row r="106" spans="1:9" s="1" customFormat="1" x14ac:dyDescent="0.25">
      <c r="A106" s="10" t="s">
        <v>214</v>
      </c>
      <c r="B106" s="10">
        <v>32301</v>
      </c>
      <c r="C106" s="8" t="s">
        <v>215</v>
      </c>
      <c r="D106" s="53"/>
      <c r="E106" s="53"/>
      <c r="G106"/>
      <c r="H106"/>
      <c r="I106"/>
    </row>
    <row r="107" spans="1:9" s="1" customFormat="1" x14ac:dyDescent="0.25">
      <c r="A107" s="10" t="s">
        <v>216</v>
      </c>
      <c r="B107" s="10">
        <v>32401</v>
      </c>
      <c r="C107" s="8" t="s">
        <v>217</v>
      </c>
      <c r="D107" s="53"/>
      <c r="E107" s="53"/>
      <c r="G107"/>
      <c r="H107"/>
      <c r="I107"/>
    </row>
    <row r="108" spans="1:9" s="1" customFormat="1" x14ac:dyDescent="0.25">
      <c r="A108" s="10" t="s">
        <v>218</v>
      </c>
      <c r="B108" s="10">
        <v>33101</v>
      </c>
      <c r="C108" s="8" t="s">
        <v>219</v>
      </c>
      <c r="D108" s="53"/>
      <c r="E108" s="53"/>
      <c r="G108"/>
      <c r="H108"/>
      <c r="I108"/>
    </row>
    <row r="109" spans="1:9" s="1" customFormat="1" x14ac:dyDescent="0.25">
      <c r="A109" s="10" t="s">
        <v>220</v>
      </c>
      <c r="B109" s="10">
        <v>33201</v>
      </c>
      <c r="C109" s="8" t="s">
        <v>221</v>
      </c>
      <c r="D109" s="53"/>
      <c r="E109" s="53"/>
      <c r="G109"/>
      <c r="H109"/>
      <c r="I109"/>
    </row>
    <row r="110" spans="1:9" s="1" customFormat="1" x14ac:dyDescent="0.25">
      <c r="A110" s="10" t="s">
        <v>222</v>
      </c>
      <c r="B110" s="10">
        <v>33301</v>
      </c>
      <c r="C110" s="8" t="s">
        <v>223</v>
      </c>
      <c r="D110" s="53"/>
      <c r="E110" s="53"/>
      <c r="G110"/>
      <c r="H110"/>
      <c r="I110"/>
    </row>
    <row r="111" spans="1:9" s="1" customFormat="1" x14ac:dyDescent="0.25">
      <c r="A111" s="10" t="s">
        <v>224</v>
      </c>
      <c r="B111" s="10">
        <v>33401</v>
      </c>
      <c r="C111" s="8" t="s">
        <v>225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227</v>
      </c>
      <c r="D112" s="74">
        <v>66785036.799999997</v>
      </c>
      <c r="E112" s="53"/>
      <c r="G112"/>
      <c r="H112"/>
      <c r="I112"/>
    </row>
    <row r="113" spans="1:9" s="1" customFormat="1" x14ac:dyDescent="0.25">
      <c r="A113" s="10" t="s">
        <v>228</v>
      </c>
      <c r="B113" s="10">
        <v>34101</v>
      </c>
      <c r="C113" s="8" t="s">
        <v>229</v>
      </c>
      <c r="D113" s="53"/>
      <c r="E113" s="53"/>
      <c r="G113"/>
      <c r="H113"/>
      <c r="I113"/>
    </row>
    <row r="114" spans="1:9" s="1" customFormat="1" x14ac:dyDescent="0.25">
      <c r="A114" s="10" t="s">
        <v>230</v>
      </c>
      <c r="B114" s="10">
        <v>35101</v>
      </c>
      <c r="C114" s="8" t="s">
        <v>231</v>
      </c>
      <c r="D114" s="53"/>
      <c r="E114" s="53"/>
      <c r="G114"/>
      <c r="H114"/>
      <c r="I114"/>
    </row>
    <row r="115" spans="1:9" s="1" customFormat="1" x14ac:dyDescent="0.25">
      <c r="A115" s="10" t="s">
        <v>232</v>
      </c>
      <c r="B115" s="10">
        <v>35201</v>
      </c>
      <c r="C115" s="8" t="s">
        <v>233</v>
      </c>
      <c r="D115" s="53"/>
      <c r="E115" s="53"/>
      <c r="G115"/>
      <c r="H115"/>
      <c r="I115"/>
    </row>
    <row r="116" spans="1:9" x14ac:dyDescent="0.25">
      <c r="A116" s="10" t="s">
        <v>234</v>
      </c>
      <c r="B116" s="10">
        <v>35301</v>
      </c>
      <c r="C116" s="8" t="s">
        <v>235</v>
      </c>
      <c r="D116" s="53"/>
      <c r="E116" s="53"/>
    </row>
    <row r="117" spans="1:9" x14ac:dyDescent="0.25">
      <c r="A117" s="10" t="s">
        <v>236</v>
      </c>
      <c r="B117" s="10">
        <v>35401</v>
      </c>
      <c r="C117" s="8" t="s">
        <v>237</v>
      </c>
      <c r="D117" s="78">
        <v>914.5</v>
      </c>
      <c r="E117" s="53"/>
    </row>
    <row r="118" spans="1:9" x14ac:dyDescent="0.25">
      <c r="A118" s="10" t="s">
        <v>238</v>
      </c>
      <c r="B118" s="10">
        <v>35501</v>
      </c>
      <c r="C118" s="8" t="s">
        <v>239</v>
      </c>
      <c r="D118" s="53"/>
      <c r="E118" s="53"/>
    </row>
    <row r="119" spans="1:9" x14ac:dyDescent="0.25">
      <c r="A119" s="10" t="s">
        <v>240</v>
      </c>
      <c r="B119" s="10">
        <v>36101</v>
      </c>
      <c r="C119" s="8" t="s">
        <v>241</v>
      </c>
      <c r="D119" s="53"/>
      <c r="E119" s="53"/>
    </row>
    <row r="120" spans="1:9" x14ac:dyDescent="0.25">
      <c r="A120" s="10"/>
      <c r="B120" s="10">
        <v>36102</v>
      </c>
      <c r="C120" s="8" t="s">
        <v>242</v>
      </c>
      <c r="D120" s="53"/>
      <c r="E120" s="53"/>
    </row>
    <row r="121" spans="1:9" x14ac:dyDescent="0.25">
      <c r="A121" s="10" t="s">
        <v>243</v>
      </c>
      <c r="B121" s="10">
        <v>36104</v>
      </c>
      <c r="C121" s="8" t="s">
        <v>244</v>
      </c>
      <c r="D121" s="53"/>
      <c r="E121" s="53"/>
    </row>
    <row r="122" spans="1:9" x14ac:dyDescent="0.25">
      <c r="A122" s="10" t="s">
        <v>245</v>
      </c>
      <c r="B122" s="10">
        <v>36201</v>
      </c>
      <c r="C122" s="8" t="s">
        <v>246</v>
      </c>
      <c r="D122" s="53"/>
      <c r="E122" s="53"/>
    </row>
    <row r="123" spans="1:9" x14ac:dyDescent="0.25">
      <c r="A123" s="10" t="s">
        <v>247</v>
      </c>
      <c r="B123" s="10">
        <v>36202</v>
      </c>
      <c r="C123" s="8" t="s">
        <v>248</v>
      </c>
      <c r="D123" s="53"/>
      <c r="E123" s="53"/>
    </row>
    <row r="124" spans="1:9" x14ac:dyDescent="0.25">
      <c r="A124" s="10" t="s">
        <v>249</v>
      </c>
      <c r="B124" s="10">
        <v>36203</v>
      </c>
      <c r="C124" s="8" t="s">
        <v>250</v>
      </c>
      <c r="D124" s="53"/>
      <c r="E124" s="53"/>
    </row>
    <row r="125" spans="1:9" x14ac:dyDescent="0.25">
      <c r="A125" s="10" t="s">
        <v>251</v>
      </c>
      <c r="B125" s="10">
        <v>36301</v>
      </c>
      <c r="C125" s="8" t="s">
        <v>252</v>
      </c>
      <c r="D125" s="53"/>
      <c r="E125" s="53"/>
    </row>
    <row r="126" spans="1:9" x14ac:dyDescent="0.25">
      <c r="A126" s="10"/>
      <c r="B126" s="10">
        <v>36302</v>
      </c>
      <c r="C126" s="8" t="s">
        <v>248</v>
      </c>
      <c r="D126" s="53"/>
      <c r="E126" s="53"/>
    </row>
    <row r="127" spans="1:9" x14ac:dyDescent="0.25">
      <c r="A127" s="10" t="s">
        <v>253</v>
      </c>
      <c r="B127" s="10">
        <v>36303</v>
      </c>
      <c r="C127" s="8" t="s">
        <v>254</v>
      </c>
      <c r="D127" s="53"/>
      <c r="E127" s="53"/>
    </row>
    <row r="128" spans="1:9" x14ac:dyDescent="0.25">
      <c r="A128" s="10" t="s">
        <v>255</v>
      </c>
      <c r="B128" s="10">
        <v>36304</v>
      </c>
      <c r="C128" s="8" t="s">
        <v>256</v>
      </c>
      <c r="D128" s="78">
        <v>2746</v>
      </c>
      <c r="E128" s="53"/>
    </row>
    <row r="129" spans="1:9" s="1" customFormat="1" x14ac:dyDescent="0.25">
      <c r="A129" s="10" t="s">
        <v>255</v>
      </c>
      <c r="B129" s="10">
        <v>36306</v>
      </c>
      <c r="C129" s="8" t="s">
        <v>257</v>
      </c>
      <c r="D129" s="53"/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258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/>
      <c r="D131" s="53"/>
      <c r="E131" s="53"/>
      <c r="G131"/>
      <c r="H131"/>
      <c r="I131"/>
    </row>
    <row r="132" spans="1:9" s="1" customFormat="1" x14ac:dyDescent="0.25">
      <c r="A132" s="10" t="s">
        <v>243</v>
      </c>
      <c r="B132" s="51">
        <v>36403</v>
      </c>
      <c r="C132" s="52" t="s">
        <v>259</v>
      </c>
      <c r="D132" s="53"/>
      <c r="E132" s="53"/>
      <c r="G132"/>
      <c r="H132"/>
      <c r="I132"/>
    </row>
    <row r="133" spans="1:9" s="1" customFormat="1" x14ac:dyDescent="0.25">
      <c r="A133" s="10" t="s">
        <v>260</v>
      </c>
      <c r="B133" s="51">
        <v>37101</v>
      </c>
      <c r="C133" s="52" t="s">
        <v>261</v>
      </c>
      <c r="D133" s="53"/>
      <c r="E133" s="53"/>
      <c r="G133"/>
      <c r="H133"/>
      <c r="I133"/>
    </row>
    <row r="134" spans="1:9" s="1" customFormat="1" x14ac:dyDescent="0.25">
      <c r="A134" s="10" t="s">
        <v>262</v>
      </c>
      <c r="B134" s="51">
        <v>37102</v>
      </c>
      <c r="C134" s="52" t="s">
        <v>263</v>
      </c>
      <c r="D134" s="53"/>
      <c r="E134" s="53"/>
      <c r="G134"/>
      <c r="H134"/>
      <c r="I134"/>
    </row>
    <row r="135" spans="1:9" s="1" customFormat="1" x14ac:dyDescent="0.25">
      <c r="A135" s="10" t="s">
        <v>264</v>
      </c>
      <c r="B135" s="51">
        <v>37104</v>
      </c>
      <c r="C135" s="52" t="s">
        <v>265</v>
      </c>
      <c r="D135" s="53"/>
      <c r="E135" s="53"/>
      <c r="G135"/>
      <c r="H135"/>
      <c r="I135"/>
    </row>
    <row r="136" spans="1:9" s="1" customFormat="1" x14ac:dyDescent="0.25">
      <c r="A136" s="10" t="s">
        <v>266</v>
      </c>
      <c r="B136" s="51">
        <v>37105</v>
      </c>
      <c r="C136" s="52" t="s">
        <v>267</v>
      </c>
      <c r="D136" s="78">
        <v>325</v>
      </c>
      <c r="E136" s="53"/>
      <c r="G136"/>
      <c r="H136"/>
      <c r="I136"/>
    </row>
    <row r="137" spans="1:9" s="1" customFormat="1" x14ac:dyDescent="0.25">
      <c r="A137" s="10" t="s">
        <v>268</v>
      </c>
      <c r="B137" s="51">
        <v>37106</v>
      </c>
      <c r="C137" s="52" t="s">
        <v>269</v>
      </c>
      <c r="D137" s="53"/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270</v>
      </c>
      <c r="D138" s="53"/>
      <c r="E138" s="53"/>
      <c r="G138"/>
      <c r="H138"/>
      <c r="I138"/>
    </row>
    <row r="139" spans="1:9" s="1" customFormat="1" x14ac:dyDescent="0.25">
      <c r="A139" s="10" t="s">
        <v>271</v>
      </c>
      <c r="B139" s="10">
        <v>37203</v>
      </c>
      <c r="C139" s="8" t="s">
        <v>272</v>
      </c>
      <c r="D139" s="53"/>
      <c r="E139" s="53"/>
      <c r="G139"/>
      <c r="H139"/>
      <c r="I139"/>
    </row>
    <row r="140" spans="1:9" s="1" customFormat="1" x14ac:dyDescent="0.25">
      <c r="A140" s="10" t="s">
        <v>273</v>
      </c>
      <c r="B140" s="10">
        <v>37205</v>
      </c>
      <c r="C140" s="8" t="s">
        <v>274</v>
      </c>
      <c r="D140" s="53"/>
      <c r="E140" s="53"/>
      <c r="G140"/>
      <c r="H140"/>
      <c r="I140"/>
    </row>
    <row r="141" spans="1:9" s="1" customFormat="1" x14ac:dyDescent="0.25">
      <c r="A141" s="10" t="s">
        <v>275</v>
      </c>
      <c r="B141" s="10">
        <v>37206</v>
      </c>
      <c r="C141" s="8" t="s">
        <v>276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277</v>
      </c>
      <c r="D142" s="53"/>
      <c r="E142" s="53"/>
      <c r="G142"/>
      <c r="H142"/>
      <c r="I142"/>
    </row>
    <row r="143" spans="1:9" s="1" customFormat="1" x14ac:dyDescent="0.25">
      <c r="A143" s="10" t="s">
        <v>278</v>
      </c>
      <c r="B143" s="51">
        <v>39101</v>
      </c>
      <c r="C143" s="52" t="s">
        <v>279</v>
      </c>
      <c r="D143" s="53"/>
      <c r="E143" s="53"/>
      <c r="G143"/>
      <c r="H143"/>
      <c r="I143"/>
    </row>
    <row r="144" spans="1:9" s="1" customFormat="1" ht="30" x14ac:dyDescent="0.25">
      <c r="A144" s="10" t="s">
        <v>280</v>
      </c>
      <c r="B144" s="51">
        <v>39201</v>
      </c>
      <c r="C144" s="52" t="s">
        <v>281</v>
      </c>
      <c r="D144" s="53"/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282</v>
      </c>
      <c r="D145" s="53"/>
      <c r="E145" s="53"/>
      <c r="G145"/>
      <c r="H145"/>
      <c r="I145"/>
    </row>
    <row r="146" spans="1:9" s="1" customFormat="1" x14ac:dyDescent="0.25">
      <c r="A146" s="10" t="s">
        <v>283</v>
      </c>
      <c r="B146" s="51">
        <v>39501</v>
      </c>
      <c r="C146" s="52" t="s">
        <v>284</v>
      </c>
      <c r="D146" s="53"/>
      <c r="E146" s="53"/>
      <c r="G146"/>
      <c r="H146"/>
      <c r="I146"/>
    </row>
    <row r="147" spans="1:9" s="1" customFormat="1" x14ac:dyDescent="0.25">
      <c r="A147" s="10" t="s">
        <v>285</v>
      </c>
      <c r="B147" s="10">
        <v>39601</v>
      </c>
      <c r="C147" s="8" t="s">
        <v>286</v>
      </c>
      <c r="D147" s="78">
        <v>3318.4</v>
      </c>
      <c r="E147" s="53"/>
      <c r="G147"/>
      <c r="H147"/>
      <c r="I147"/>
    </row>
    <row r="148" spans="1:9" s="1" customFormat="1" x14ac:dyDescent="0.25">
      <c r="A148" s="10" t="s">
        <v>287</v>
      </c>
      <c r="B148" s="10">
        <v>39801</v>
      </c>
      <c r="C148" s="8" t="s">
        <v>288</v>
      </c>
      <c r="D148" s="77">
        <v>177000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353</v>
      </c>
      <c r="D149" s="53"/>
      <c r="E149" s="53"/>
      <c r="G149"/>
      <c r="H149"/>
      <c r="I149"/>
    </row>
    <row r="150" spans="1:9" s="1" customFormat="1" x14ac:dyDescent="0.25">
      <c r="A150" s="10" t="s">
        <v>289</v>
      </c>
      <c r="B150" s="10">
        <v>39901</v>
      </c>
      <c r="C150" s="8" t="s">
        <v>290</v>
      </c>
      <c r="D150" s="53"/>
      <c r="E150" s="53"/>
      <c r="G150"/>
      <c r="H150"/>
      <c r="I150"/>
    </row>
    <row r="151" spans="1:9" s="1" customFormat="1" x14ac:dyDescent="0.25">
      <c r="A151" s="10" t="s">
        <v>289</v>
      </c>
      <c r="B151" s="10">
        <v>39902</v>
      </c>
      <c r="C151" s="8" t="s">
        <v>291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292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293</v>
      </c>
      <c r="D153" s="77">
        <v>24780</v>
      </c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294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295</v>
      </c>
      <c r="B155" s="10">
        <v>41103</v>
      </c>
      <c r="C155" s="8" t="s">
        <v>296</v>
      </c>
      <c r="D155" s="53"/>
      <c r="E155" s="53"/>
      <c r="G155"/>
      <c r="H155"/>
      <c r="I155"/>
    </row>
    <row r="156" spans="1:9" s="1" customFormat="1" ht="30" x14ac:dyDescent="0.25">
      <c r="A156" s="10" t="s">
        <v>297</v>
      </c>
      <c r="B156" s="10">
        <v>41201</v>
      </c>
      <c r="C156" s="8" t="s">
        <v>298</v>
      </c>
      <c r="D156" s="53"/>
      <c r="E156" s="53"/>
      <c r="G156"/>
      <c r="H156"/>
      <c r="I156"/>
    </row>
    <row r="157" spans="1:9" s="1" customFormat="1" ht="30" x14ac:dyDescent="0.25">
      <c r="A157" s="10" t="s">
        <v>299</v>
      </c>
      <c r="B157" s="10">
        <v>41202</v>
      </c>
      <c r="C157" s="8" t="s">
        <v>300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301</v>
      </c>
      <c r="D158" s="9"/>
      <c r="E158" s="9"/>
      <c r="G158"/>
      <c r="H158"/>
      <c r="I158"/>
    </row>
    <row r="159" spans="1:9" s="1" customFormat="1" x14ac:dyDescent="0.25">
      <c r="A159" s="10" t="s">
        <v>302</v>
      </c>
      <c r="B159" s="10">
        <v>41402</v>
      </c>
      <c r="C159" s="8" t="s">
        <v>303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304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305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306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307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308</v>
      </c>
      <c r="D164" s="9"/>
      <c r="E164" s="9"/>
      <c r="G164"/>
      <c r="H164"/>
      <c r="I164"/>
    </row>
    <row r="165" spans="1:9" s="1" customFormat="1" x14ac:dyDescent="0.25">
      <c r="A165" s="10" t="s">
        <v>309</v>
      </c>
      <c r="B165" s="10">
        <v>44102</v>
      </c>
      <c r="C165" s="8" t="s">
        <v>310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311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358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77</v>
      </c>
      <c r="D168" s="15"/>
      <c r="E168" s="62">
        <f>+E9-E16</f>
        <v>773966133.59000003</v>
      </c>
      <c r="G168"/>
      <c r="H168"/>
      <c r="I168"/>
    </row>
    <row r="169" spans="1:9" s="1" customFormat="1" x14ac:dyDescent="0.25">
      <c r="A169" s="10"/>
      <c r="B169" s="10" t="s">
        <v>314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77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315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316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42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315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317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318</v>
      </c>
      <c r="C176" s="98"/>
      <c r="D176" s="66">
        <f>+E9-E16</f>
        <v>773966133.59000003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319</v>
      </c>
      <c r="B184" s="11">
        <v>6</v>
      </c>
      <c r="C184" s="5" t="s">
        <v>320</v>
      </c>
      <c r="D184" s="12">
        <f>SUM(D185:D206)</f>
        <v>1003200.06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321</v>
      </c>
      <c r="D185" s="53"/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322</v>
      </c>
      <c r="D186" s="53">
        <v>1003200.06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323</v>
      </c>
      <c r="D187" s="53"/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324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325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326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327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328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329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330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331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332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333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334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335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336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337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338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339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340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341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342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359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343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344</v>
      </c>
      <c r="B209" s="10">
        <v>71201</v>
      </c>
      <c r="C209" s="8" t="s">
        <v>345</v>
      </c>
      <c r="D209" s="24"/>
      <c r="E209" s="25"/>
      <c r="G209"/>
      <c r="H209"/>
      <c r="I209"/>
    </row>
    <row r="210" spans="1:9" s="1" customFormat="1" x14ac:dyDescent="0.25">
      <c r="A210" s="27" t="s">
        <v>346</v>
      </c>
      <c r="B210" s="10">
        <v>71501</v>
      </c>
      <c r="C210" s="8" t="s">
        <v>347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1003200.06</v>
      </c>
      <c r="E211" s="19"/>
      <c r="G211"/>
      <c r="H211"/>
      <c r="I211"/>
    </row>
    <row r="212" spans="1:9" s="1" customFormat="1" x14ac:dyDescent="0.25">
      <c r="A212"/>
      <c r="B212"/>
      <c r="C212" s="2" t="s">
        <v>348</v>
      </c>
      <c r="E212" s="21"/>
      <c r="G212"/>
      <c r="H212"/>
      <c r="I212"/>
    </row>
    <row r="213" spans="1:9" s="1" customFormat="1" x14ac:dyDescent="0.25">
      <c r="A213"/>
      <c r="B213"/>
      <c r="C213" s="2" t="s">
        <v>349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" zoomScale="120" zoomScaleNormal="120" zoomScaleSheetLayoutView="100" workbookViewId="0">
      <selection activeCell="D12" sqref="D12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360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64</v>
      </c>
      <c r="B10" s="7" t="s">
        <v>65</v>
      </c>
      <c r="C10" s="8" t="s">
        <v>66</v>
      </c>
      <c r="D10" s="53">
        <v>347054693.31999999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553449849.10000002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6256983.6600000001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" t="s">
        <v>77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78</v>
      </c>
      <c r="D16" s="64">
        <f>+D46+D49+D50+D53+D57+D77+D91+D92+D94+D95+D96+D117+D128+D136+D204+D204</f>
        <v>193193.43</v>
      </c>
      <c r="E16" s="64">
        <f>+D16</f>
        <v>193193.43</v>
      </c>
    </row>
    <row r="17" spans="1:9" x14ac:dyDescent="0.25">
      <c r="A17" s="51"/>
      <c r="B17" s="51">
        <v>1</v>
      </c>
      <c r="C17" s="63" t="s">
        <v>79</v>
      </c>
      <c r="D17" s="57">
        <f>SUM(D18:D42)</f>
        <v>0</v>
      </c>
      <c r="E17" s="57" t="s">
        <v>3</v>
      </c>
    </row>
    <row r="18" spans="1:9" x14ac:dyDescent="0.25">
      <c r="A18" s="51" t="s">
        <v>80</v>
      </c>
      <c r="B18" s="51">
        <v>11101</v>
      </c>
      <c r="C18" s="52" t="s">
        <v>81</v>
      </c>
      <c r="D18" s="53"/>
      <c r="E18" s="53"/>
    </row>
    <row r="19" spans="1:9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30" x14ac:dyDescent="0.25">
      <c r="A22" s="10" t="s">
        <v>88</v>
      </c>
      <c r="B22" s="10">
        <v>11205</v>
      </c>
      <c r="C22" s="8" t="s">
        <v>89</v>
      </c>
      <c r="D22" s="65"/>
      <c r="E22" s="9"/>
    </row>
    <row r="23" spans="1:9" ht="30" x14ac:dyDescent="0.25">
      <c r="A23" s="10"/>
      <c r="B23" s="10">
        <v>11208</v>
      </c>
      <c r="C23" s="8" t="s">
        <v>90</v>
      </c>
      <c r="D23" s="65"/>
      <c r="E23" s="9"/>
    </row>
    <row r="24" spans="1:9" ht="30" x14ac:dyDescent="0.25">
      <c r="A24" s="10"/>
      <c r="B24" s="10">
        <v>11210</v>
      </c>
      <c r="C24" s="8" t="s">
        <v>91</v>
      </c>
      <c r="D24" s="53"/>
      <c r="E24" s="53"/>
    </row>
    <row r="25" spans="1:9" x14ac:dyDescent="0.25">
      <c r="A25" s="10"/>
      <c r="B25" s="10">
        <v>11211</v>
      </c>
      <c r="C25" s="8" t="s">
        <v>92</v>
      </c>
      <c r="D25" s="53"/>
      <c r="E25" s="53"/>
    </row>
    <row r="26" spans="1:9" x14ac:dyDescent="0.25">
      <c r="A26" s="10" t="s">
        <v>93</v>
      </c>
      <c r="B26" s="10">
        <v>11401</v>
      </c>
      <c r="C26" s="8" t="s">
        <v>94</v>
      </c>
      <c r="D26" s="53"/>
      <c r="E26" s="53"/>
    </row>
    <row r="27" spans="1:9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30" x14ac:dyDescent="0.25">
      <c r="A28" s="10"/>
      <c r="B28" s="10">
        <v>11503</v>
      </c>
      <c r="C28" s="8" t="s">
        <v>97</v>
      </c>
      <c r="D28" s="53"/>
      <c r="E28" s="53"/>
    </row>
    <row r="29" spans="1:9" x14ac:dyDescent="0.25">
      <c r="A29" s="10"/>
      <c r="B29" s="10">
        <v>11504</v>
      </c>
      <c r="C29" s="8" t="s">
        <v>98</v>
      </c>
      <c r="D29" s="53"/>
      <c r="E29" s="53"/>
    </row>
    <row r="30" spans="1:9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100</v>
      </c>
      <c r="D31" s="53"/>
      <c r="E31" s="53"/>
    </row>
    <row r="32" spans="1:9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5" x14ac:dyDescent="0.25">
      <c r="A33" s="10" t="s">
        <v>103</v>
      </c>
      <c r="B33" s="10">
        <v>12205</v>
      </c>
      <c r="C33" s="8" t="s">
        <v>104</v>
      </c>
      <c r="D33" s="53"/>
      <c r="E33" s="53"/>
    </row>
    <row r="34" spans="1:5" x14ac:dyDescent="0.25">
      <c r="A34" s="10" t="s">
        <v>105</v>
      </c>
      <c r="B34" s="10">
        <v>12206</v>
      </c>
      <c r="C34" s="8" t="s">
        <v>106</v>
      </c>
      <c r="D34" s="53"/>
      <c r="E34" s="53"/>
    </row>
    <row r="35" spans="1:5" x14ac:dyDescent="0.25">
      <c r="A35" s="10" t="s">
        <v>107</v>
      </c>
      <c r="B35" s="10">
        <v>12209</v>
      </c>
      <c r="C35" s="8" t="s">
        <v>108</v>
      </c>
      <c r="D35" s="53"/>
      <c r="E35" s="53"/>
    </row>
    <row r="36" spans="1:5" x14ac:dyDescent="0.25">
      <c r="A36" s="10"/>
      <c r="B36" s="10">
        <v>12210</v>
      </c>
      <c r="C36" s="8" t="s">
        <v>109</v>
      </c>
      <c r="D36" s="53"/>
      <c r="E36" s="53"/>
    </row>
    <row r="37" spans="1:5" ht="30" x14ac:dyDescent="0.25">
      <c r="A37" s="10"/>
      <c r="B37" s="10">
        <v>12215</v>
      </c>
      <c r="C37" s="8" t="s">
        <v>100</v>
      </c>
      <c r="D37" s="53"/>
      <c r="E37" s="53"/>
    </row>
    <row r="38" spans="1:5" x14ac:dyDescent="0.25">
      <c r="A38" s="10"/>
      <c r="B38" s="10">
        <v>13201</v>
      </c>
      <c r="C38" s="8" t="s">
        <v>110</v>
      </c>
      <c r="D38" s="53"/>
      <c r="E38" s="53"/>
    </row>
    <row r="39" spans="1:5" x14ac:dyDescent="0.25">
      <c r="A39" s="10" t="s">
        <v>111</v>
      </c>
      <c r="B39" s="10">
        <v>13101</v>
      </c>
      <c r="C39" s="8" t="s">
        <v>112</v>
      </c>
      <c r="D39" s="53"/>
      <c r="E39" s="53"/>
    </row>
    <row r="40" spans="1:5" x14ac:dyDescent="0.25">
      <c r="A40" s="10" t="s">
        <v>113</v>
      </c>
      <c r="B40" s="10">
        <v>15101</v>
      </c>
      <c r="C40" s="8" t="s">
        <v>114</v>
      </c>
      <c r="D40" s="54"/>
      <c r="E40" s="53"/>
    </row>
    <row r="41" spans="1:5" x14ac:dyDescent="0.25">
      <c r="A41" s="10" t="s">
        <v>115</v>
      </c>
      <c r="B41" s="10">
        <v>15201</v>
      </c>
      <c r="C41" s="8" t="s">
        <v>116</v>
      </c>
      <c r="D41" s="53"/>
      <c r="E41" s="53"/>
    </row>
    <row r="42" spans="1:5" ht="30" x14ac:dyDescent="0.25">
      <c r="A42" s="10"/>
      <c r="B42" s="10">
        <v>15301</v>
      </c>
      <c r="C42" s="8" t="s">
        <v>117</v>
      </c>
      <c r="D42" s="53"/>
      <c r="E42" s="53"/>
    </row>
    <row r="43" spans="1:5" x14ac:dyDescent="0.25">
      <c r="A43" s="51"/>
      <c r="B43" s="51">
        <v>2</v>
      </c>
      <c r="C43" s="63" t="s">
        <v>118</v>
      </c>
      <c r="D43" s="57"/>
      <c r="E43" s="57"/>
    </row>
    <row r="44" spans="1:5" x14ac:dyDescent="0.25">
      <c r="A44" s="10" t="s">
        <v>119</v>
      </c>
      <c r="B44" s="10">
        <v>21201</v>
      </c>
      <c r="C44" s="8" t="s">
        <v>120</v>
      </c>
      <c r="D44" s="54"/>
      <c r="E44" s="53"/>
    </row>
    <row r="45" spans="1:5" x14ac:dyDescent="0.25">
      <c r="A45" s="10" t="s">
        <v>121</v>
      </c>
      <c r="B45" s="10">
        <v>21301</v>
      </c>
      <c r="C45" s="8" t="s">
        <v>122</v>
      </c>
      <c r="D45" s="53"/>
      <c r="E45" s="53"/>
    </row>
    <row r="46" spans="1:5" x14ac:dyDescent="0.25">
      <c r="A46" s="10" t="s">
        <v>123</v>
      </c>
      <c r="B46" s="10">
        <v>21401</v>
      </c>
      <c r="C46" s="8" t="s">
        <v>124</v>
      </c>
      <c r="D46" s="80">
        <v>200</v>
      </c>
      <c r="E46" s="53"/>
    </row>
    <row r="47" spans="1:5" x14ac:dyDescent="0.25">
      <c r="A47" s="10" t="s">
        <v>125</v>
      </c>
      <c r="B47" s="10">
        <v>21501</v>
      </c>
      <c r="C47" s="8" t="s">
        <v>126</v>
      </c>
      <c r="D47" s="53"/>
      <c r="E47" s="53"/>
    </row>
    <row r="48" spans="1:5" x14ac:dyDescent="0.25">
      <c r="A48" s="10" t="s">
        <v>127</v>
      </c>
      <c r="B48" s="10">
        <v>21601</v>
      </c>
      <c r="C48" s="8" t="s">
        <v>128</v>
      </c>
      <c r="D48" s="53"/>
      <c r="E48" s="53"/>
    </row>
    <row r="49" spans="1:6" x14ac:dyDescent="0.25">
      <c r="A49" s="10" t="s">
        <v>129</v>
      </c>
      <c r="B49" s="10">
        <v>21701</v>
      </c>
      <c r="C49" s="8" t="s">
        <v>130</v>
      </c>
      <c r="D49" s="53">
        <v>5940</v>
      </c>
      <c r="E49" s="53"/>
      <c r="F49" s="60"/>
    </row>
    <row r="50" spans="1:6" x14ac:dyDescent="0.25">
      <c r="A50" s="10" t="s">
        <v>131</v>
      </c>
      <c r="B50" s="10">
        <v>21801</v>
      </c>
      <c r="C50" s="8" t="s">
        <v>132</v>
      </c>
      <c r="D50" s="53">
        <f>1000+2000</f>
        <v>3000</v>
      </c>
      <c r="E50" s="53"/>
      <c r="F50" s="60"/>
    </row>
    <row r="51" spans="1:6" x14ac:dyDescent="0.25">
      <c r="A51" s="10" t="s">
        <v>133</v>
      </c>
      <c r="B51" s="10">
        <v>22101</v>
      </c>
      <c r="C51" s="8" t="s">
        <v>134</v>
      </c>
      <c r="D51" s="53"/>
      <c r="E51" s="53"/>
      <c r="F51" s="60"/>
    </row>
    <row r="52" spans="1:6" x14ac:dyDescent="0.25">
      <c r="A52" s="10" t="s">
        <v>135</v>
      </c>
      <c r="B52" s="10">
        <v>22201</v>
      </c>
      <c r="C52" s="8" t="s">
        <v>136</v>
      </c>
      <c r="D52" s="53"/>
      <c r="E52" s="53"/>
      <c r="F52" s="60"/>
    </row>
    <row r="53" spans="1:6" x14ac:dyDescent="0.25">
      <c r="A53" s="10" t="s">
        <v>137</v>
      </c>
      <c r="B53" s="10">
        <v>23101</v>
      </c>
      <c r="C53" s="8" t="s">
        <v>138</v>
      </c>
      <c r="D53" s="53">
        <f>10000+14830+16050+47920</f>
        <v>88800</v>
      </c>
      <c r="E53" s="53"/>
      <c r="F53" s="60"/>
    </row>
    <row r="54" spans="1:6" x14ac:dyDescent="0.25">
      <c r="A54" s="10" t="s">
        <v>139</v>
      </c>
      <c r="B54" s="10">
        <v>23201</v>
      </c>
      <c r="C54" s="8" t="s">
        <v>140</v>
      </c>
      <c r="D54" s="53"/>
      <c r="E54" s="53"/>
    </row>
    <row r="55" spans="1:6" x14ac:dyDescent="0.25">
      <c r="A55" s="10" t="s">
        <v>141</v>
      </c>
      <c r="B55" s="10">
        <v>24101</v>
      </c>
      <c r="C55" s="8" t="s">
        <v>142</v>
      </c>
      <c r="D55" s="53"/>
      <c r="E55" s="53"/>
    </row>
    <row r="56" spans="1:6" x14ac:dyDescent="0.25">
      <c r="A56" s="10" t="s">
        <v>143</v>
      </c>
      <c r="B56" s="10">
        <v>24201</v>
      </c>
      <c r="C56" s="8" t="s">
        <v>144</v>
      </c>
      <c r="D56" s="53"/>
      <c r="E56" s="53"/>
    </row>
    <row r="57" spans="1:6" x14ac:dyDescent="0.25">
      <c r="A57" s="10" t="s">
        <v>145</v>
      </c>
      <c r="B57" s="10">
        <v>24401</v>
      </c>
      <c r="C57" s="8" t="s">
        <v>146</v>
      </c>
      <c r="D57" s="53">
        <v>920</v>
      </c>
      <c r="E57" s="53"/>
    </row>
    <row r="58" spans="1:6" x14ac:dyDescent="0.25">
      <c r="A58" s="10" t="s">
        <v>147</v>
      </c>
      <c r="B58" s="10">
        <v>25101</v>
      </c>
      <c r="C58" s="8" t="s">
        <v>148</v>
      </c>
      <c r="D58" s="53"/>
      <c r="E58" s="53"/>
    </row>
    <row r="59" spans="1:6" x14ac:dyDescent="0.25">
      <c r="A59" s="10"/>
      <c r="B59" s="10">
        <v>25302</v>
      </c>
      <c r="C59" s="8" t="s">
        <v>149</v>
      </c>
      <c r="D59" s="53"/>
      <c r="E59" s="53"/>
    </row>
    <row r="60" spans="1:6" x14ac:dyDescent="0.25">
      <c r="A60" s="10"/>
      <c r="B60" s="10">
        <v>25303</v>
      </c>
      <c r="C60" s="8" t="s">
        <v>150</v>
      </c>
      <c r="D60" s="53"/>
      <c r="E60" s="53"/>
    </row>
    <row r="61" spans="1:6" ht="30" x14ac:dyDescent="0.25">
      <c r="A61" s="10"/>
      <c r="B61" s="10">
        <v>25304</v>
      </c>
      <c r="C61" s="8" t="s">
        <v>151</v>
      </c>
      <c r="D61" s="53"/>
      <c r="E61" s="53"/>
    </row>
    <row r="62" spans="1:6" ht="30" x14ac:dyDescent="0.25">
      <c r="A62" s="10" t="s">
        <v>152</v>
      </c>
      <c r="B62" s="10">
        <v>25401</v>
      </c>
      <c r="C62" s="8" t="s">
        <v>153</v>
      </c>
      <c r="D62" s="53"/>
      <c r="E62" s="53"/>
    </row>
    <row r="63" spans="1:6" x14ac:dyDescent="0.25">
      <c r="A63" s="10" t="s">
        <v>154</v>
      </c>
      <c r="B63" s="10">
        <v>25801</v>
      </c>
      <c r="C63" s="8" t="s">
        <v>155</v>
      </c>
      <c r="D63" s="53"/>
      <c r="E63" s="9"/>
    </row>
    <row r="64" spans="1:6" x14ac:dyDescent="0.25">
      <c r="A64" s="10"/>
      <c r="B64" s="10">
        <v>25901</v>
      </c>
      <c r="C64" s="8" t="s">
        <v>352</v>
      </c>
      <c r="D64" s="53"/>
      <c r="E64" s="53"/>
    </row>
    <row r="65" spans="1:9" ht="30" x14ac:dyDescent="0.25">
      <c r="A65" s="10"/>
      <c r="B65" s="10">
        <v>26101</v>
      </c>
      <c r="C65" s="8" t="s">
        <v>156</v>
      </c>
      <c r="D65" s="53"/>
      <c r="E65" s="53"/>
    </row>
    <row r="66" spans="1:9" s="1" customFormat="1" x14ac:dyDescent="0.25">
      <c r="A66" s="10" t="s">
        <v>157</v>
      </c>
      <c r="B66" s="10">
        <v>26201</v>
      </c>
      <c r="C66" s="8" t="s">
        <v>158</v>
      </c>
      <c r="D66" s="53"/>
      <c r="E66" s="53"/>
      <c r="G66"/>
      <c r="H66"/>
      <c r="I66"/>
    </row>
    <row r="67" spans="1:9" s="1" customFormat="1" x14ac:dyDescent="0.25">
      <c r="A67" s="10" t="s">
        <v>159</v>
      </c>
      <c r="B67" s="10">
        <v>26301</v>
      </c>
      <c r="C67" s="8" t="s">
        <v>160</v>
      </c>
      <c r="D67" s="53"/>
      <c r="E67" s="53"/>
      <c r="G67"/>
      <c r="H67"/>
      <c r="I67"/>
    </row>
    <row r="68" spans="1:9" s="1" customFormat="1" x14ac:dyDescent="0.25">
      <c r="A68" s="10" t="s">
        <v>161</v>
      </c>
      <c r="B68" s="10">
        <v>27101</v>
      </c>
      <c r="C68" s="8" t="s">
        <v>162</v>
      </c>
      <c r="D68" s="53"/>
      <c r="E68" s="9"/>
      <c r="G68"/>
      <c r="H68"/>
      <c r="I68"/>
    </row>
    <row r="69" spans="1:9" s="1" customFormat="1" x14ac:dyDescent="0.25">
      <c r="A69" s="10" t="s">
        <v>163</v>
      </c>
      <c r="B69" s="10">
        <v>27102</v>
      </c>
      <c r="C69" s="8" t="s">
        <v>164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165</v>
      </c>
      <c r="D70" s="53"/>
      <c r="E70" s="9"/>
      <c r="G70"/>
      <c r="H70"/>
      <c r="I70"/>
    </row>
    <row r="71" spans="1:9" s="1" customFormat="1" ht="30" x14ac:dyDescent="0.25">
      <c r="A71" s="10" t="s">
        <v>166</v>
      </c>
      <c r="B71" s="10">
        <v>27106</v>
      </c>
      <c r="C71" s="8" t="s">
        <v>167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168</v>
      </c>
      <c r="D72" s="53"/>
      <c r="E72" s="53"/>
      <c r="G72"/>
      <c r="H72"/>
      <c r="I72"/>
    </row>
    <row r="73" spans="1:9" s="1" customFormat="1" ht="30" x14ac:dyDescent="0.25">
      <c r="A73" s="10" t="s">
        <v>169</v>
      </c>
      <c r="B73" s="10">
        <v>27201</v>
      </c>
      <c r="C73" s="8" t="s">
        <v>170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171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172</v>
      </c>
      <c r="D75" s="53"/>
      <c r="E75" s="53"/>
      <c r="G75"/>
      <c r="H75"/>
      <c r="I75"/>
    </row>
    <row r="76" spans="1:9" s="1" customFormat="1" ht="30" x14ac:dyDescent="0.25">
      <c r="A76" s="10" t="s">
        <v>173</v>
      </c>
      <c r="B76" s="10">
        <v>27205</v>
      </c>
      <c r="C76" s="8" t="s">
        <v>174</v>
      </c>
      <c r="D76" s="53"/>
      <c r="E76" s="53"/>
      <c r="G76"/>
      <c r="H76"/>
      <c r="I76"/>
    </row>
    <row r="77" spans="1:9" s="1" customFormat="1" ht="30" x14ac:dyDescent="0.25">
      <c r="A77" s="10" t="s">
        <v>175</v>
      </c>
      <c r="B77" s="10">
        <v>27206</v>
      </c>
      <c r="C77" s="8" t="s">
        <v>176</v>
      </c>
      <c r="D77" s="53">
        <v>27980.94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177</v>
      </c>
      <c r="D78" s="53"/>
      <c r="E78" s="53"/>
      <c r="G78"/>
      <c r="H78"/>
      <c r="I78"/>
    </row>
    <row r="79" spans="1:9" s="1" customFormat="1" x14ac:dyDescent="0.25">
      <c r="A79" s="10" t="s">
        <v>178</v>
      </c>
      <c r="B79" s="10">
        <v>28201</v>
      </c>
      <c r="C79" s="8" t="s">
        <v>179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180</v>
      </c>
      <c r="D80" s="53"/>
      <c r="E80" s="53"/>
      <c r="G80"/>
      <c r="H80"/>
      <c r="I80"/>
    </row>
    <row r="81" spans="1:9" s="1" customFormat="1" x14ac:dyDescent="0.25">
      <c r="A81" s="10" t="s">
        <v>181</v>
      </c>
      <c r="B81" s="10">
        <v>28401</v>
      </c>
      <c r="C81" s="8" t="s">
        <v>182</v>
      </c>
      <c r="D81" s="53"/>
      <c r="E81" s="53"/>
      <c r="G81"/>
      <c r="H81"/>
      <c r="I81"/>
    </row>
    <row r="82" spans="1:9" s="1" customFormat="1" x14ac:dyDescent="0.25">
      <c r="A82" s="10" t="s">
        <v>183</v>
      </c>
      <c r="B82" s="10">
        <v>28501</v>
      </c>
      <c r="C82" s="8" t="s">
        <v>184</v>
      </c>
      <c r="D82" s="53"/>
      <c r="E82" s="53"/>
      <c r="G82"/>
      <c r="H82"/>
      <c r="I82"/>
    </row>
    <row r="83" spans="1:9" s="1" customFormat="1" x14ac:dyDescent="0.25">
      <c r="A83" s="10" t="s">
        <v>185</v>
      </c>
      <c r="B83" s="10">
        <v>28502</v>
      </c>
      <c r="C83" s="8" t="s">
        <v>186</v>
      </c>
      <c r="D83" s="53"/>
      <c r="E83" s="53"/>
      <c r="G83"/>
      <c r="H83"/>
      <c r="I83"/>
    </row>
    <row r="84" spans="1:9" s="1" customFormat="1" x14ac:dyDescent="0.25">
      <c r="A84" s="10" t="s">
        <v>187</v>
      </c>
      <c r="B84" s="10">
        <v>28503</v>
      </c>
      <c r="C84" s="8" t="s">
        <v>188</v>
      </c>
      <c r="D84" s="53"/>
      <c r="E84" s="53"/>
      <c r="G84"/>
      <c r="H84"/>
      <c r="I84"/>
    </row>
    <row r="85" spans="1:9" s="1" customFormat="1" x14ac:dyDescent="0.25">
      <c r="A85" s="10" t="s">
        <v>189</v>
      </c>
      <c r="B85" s="10">
        <v>28601</v>
      </c>
      <c r="C85" s="8" t="s">
        <v>190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191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192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193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194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195</v>
      </c>
      <c r="D90" s="53"/>
      <c r="E90" s="53"/>
      <c r="G90"/>
      <c r="H90"/>
      <c r="I90"/>
    </row>
    <row r="91" spans="1:9" s="1" customFormat="1" x14ac:dyDescent="0.25">
      <c r="A91" s="10" t="s">
        <v>196</v>
      </c>
      <c r="B91" s="10">
        <v>28706</v>
      </c>
      <c r="C91" s="8" t="s">
        <v>197</v>
      </c>
      <c r="D91" s="53">
        <v>1062</v>
      </c>
      <c r="E91" s="53"/>
      <c r="G91"/>
      <c r="H91"/>
      <c r="I91"/>
    </row>
    <row r="92" spans="1:9" s="1" customFormat="1" x14ac:dyDescent="0.25">
      <c r="A92" s="10" t="s">
        <v>198</v>
      </c>
      <c r="B92" s="10">
        <v>28801</v>
      </c>
      <c r="C92" s="8" t="s">
        <v>199</v>
      </c>
      <c r="D92" s="53">
        <v>5036.57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200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200</v>
      </c>
      <c r="D94" s="53">
        <v>5536.36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200</v>
      </c>
      <c r="D95" s="53">
        <v>732.06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361</v>
      </c>
      <c r="D96" s="53">
        <v>50000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201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202</v>
      </c>
      <c r="D98" s="53"/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362</v>
      </c>
      <c r="D99" s="53"/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203</v>
      </c>
      <c r="D100" s="57"/>
      <c r="E100" s="57"/>
      <c r="G100"/>
      <c r="H100"/>
      <c r="I100"/>
    </row>
    <row r="101" spans="1:9" s="1" customFormat="1" x14ac:dyDescent="0.25">
      <c r="A101" s="10" t="s">
        <v>204</v>
      </c>
      <c r="B101" s="10">
        <v>31101</v>
      </c>
      <c r="C101" s="8" t="s">
        <v>205</v>
      </c>
      <c r="D101" s="53"/>
      <c r="E101" s="53"/>
      <c r="G101"/>
      <c r="H101"/>
      <c r="I101"/>
    </row>
    <row r="102" spans="1:9" s="1" customFormat="1" x14ac:dyDescent="0.25">
      <c r="A102" s="10" t="s">
        <v>206</v>
      </c>
      <c r="B102" s="10">
        <v>31303</v>
      </c>
      <c r="C102" s="8" t="s">
        <v>207</v>
      </c>
      <c r="D102" s="53"/>
      <c r="E102" s="53"/>
      <c r="G102"/>
      <c r="H102"/>
      <c r="I102"/>
    </row>
    <row r="103" spans="1:9" s="1" customFormat="1" x14ac:dyDescent="0.25">
      <c r="A103" s="10" t="s">
        <v>208</v>
      </c>
      <c r="B103" s="10">
        <v>31401</v>
      </c>
      <c r="C103" s="8" t="s">
        <v>209</v>
      </c>
      <c r="D103" s="53"/>
      <c r="E103" s="53"/>
      <c r="G103"/>
      <c r="H103"/>
      <c r="I103"/>
    </row>
    <row r="104" spans="1:9" s="1" customFormat="1" x14ac:dyDescent="0.25">
      <c r="A104" s="10" t="s">
        <v>210</v>
      </c>
      <c r="B104" s="10">
        <v>32101</v>
      </c>
      <c r="C104" s="8" t="s">
        <v>211</v>
      </c>
      <c r="D104" s="53"/>
      <c r="E104" s="53"/>
      <c r="G104"/>
      <c r="H104"/>
      <c r="I104"/>
    </row>
    <row r="105" spans="1:9" s="1" customFormat="1" x14ac:dyDescent="0.25">
      <c r="A105" s="10" t="s">
        <v>212</v>
      </c>
      <c r="B105" s="10">
        <v>32201</v>
      </c>
      <c r="C105" s="8" t="s">
        <v>213</v>
      </c>
      <c r="D105" s="53"/>
      <c r="E105" s="53"/>
      <c r="G105"/>
      <c r="H105"/>
      <c r="I105"/>
    </row>
    <row r="106" spans="1:9" s="1" customFormat="1" x14ac:dyDescent="0.25">
      <c r="A106" s="10" t="s">
        <v>214</v>
      </c>
      <c r="B106" s="10">
        <v>32301</v>
      </c>
      <c r="C106" s="8" t="s">
        <v>215</v>
      </c>
      <c r="D106" s="53"/>
      <c r="E106" s="53"/>
      <c r="G106"/>
      <c r="H106"/>
      <c r="I106"/>
    </row>
    <row r="107" spans="1:9" s="1" customFormat="1" x14ac:dyDescent="0.25">
      <c r="A107" s="10" t="s">
        <v>216</v>
      </c>
      <c r="B107" s="10">
        <v>32401</v>
      </c>
      <c r="C107" s="8" t="s">
        <v>217</v>
      </c>
      <c r="D107" s="53"/>
      <c r="E107" s="53"/>
      <c r="G107"/>
      <c r="H107"/>
      <c r="I107"/>
    </row>
    <row r="108" spans="1:9" s="1" customFormat="1" x14ac:dyDescent="0.25">
      <c r="A108" s="10" t="s">
        <v>218</v>
      </c>
      <c r="B108" s="10">
        <v>33101</v>
      </c>
      <c r="C108" s="8" t="s">
        <v>219</v>
      </c>
      <c r="D108" s="53"/>
      <c r="E108" s="53"/>
      <c r="G108"/>
      <c r="H108"/>
      <c r="I108"/>
    </row>
    <row r="109" spans="1:9" s="1" customFormat="1" x14ac:dyDescent="0.25">
      <c r="A109" s="10" t="s">
        <v>220</v>
      </c>
      <c r="B109" s="10">
        <v>33201</v>
      </c>
      <c r="C109" s="8" t="s">
        <v>221</v>
      </c>
      <c r="D109" s="53"/>
      <c r="E109" s="53"/>
      <c r="G109"/>
      <c r="H109"/>
      <c r="I109"/>
    </row>
    <row r="110" spans="1:9" s="1" customFormat="1" x14ac:dyDescent="0.25">
      <c r="A110" s="10" t="s">
        <v>222</v>
      </c>
      <c r="B110" s="10">
        <v>33301</v>
      </c>
      <c r="C110" s="8" t="s">
        <v>223</v>
      </c>
      <c r="D110" s="53"/>
      <c r="E110" s="53"/>
      <c r="G110"/>
      <c r="H110"/>
      <c r="I110"/>
    </row>
    <row r="111" spans="1:9" s="1" customFormat="1" x14ac:dyDescent="0.25">
      <c r="A111" s="10" t="s">
        <v>224</v>
      </c>
      <c r="B111" s="10">
        <v>33401</v>
      </c>
      <c r="C111" s="8" t="s">
        <v>225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227</v>
      </c>
      <c r="D112" s="53"/>
      <c r="E112" s="53"/>
      <c r="G112"/>
      <c r="H112"/>
      <c r="I112"/>
    </row>
    <row r="113" spans="1:9" s="1" customFormat="1" x14ac:dyDescent="0.25">
      <c r="A113" s="10" t="s">
        <v>228</v>
      </c>
      <c r="B113" s="10">
        <v>34101</v>
      </c>
      <c r="C113" s="8" t="s">
        <v>229</v>
      </c>
      <c r="D113" s="53"/>
      <c r="E113" s="53"/>
      <c r="G113"/>
      <c r="H113"/>
      <c r="I113"/>
    </row>
    <row r="114" spans="1:9" s="1" customFormat="1" x14ac:dyDescent="0.25">
      <c r="A114" s="10" t="s">
        <v>230</v>
      </c>
      <c r="B114" s="10">
        <v>35101</v>
      </c>
      <c r="C114" s="8" t="s">
        <v>231</v>
      </c>
      <c r="D114" s="53"/>
      <c r="E114" s="53"/>
      <c r="G114"/>
      <c r="H114"/>
      <c r="I114"/>
    </row>
    <row r="115" spans="1:9" s="1" customFormat="1" x14ac:dyDescent="0.25">
      <c r="A115" s="10" t="s">
        <v>232</v>
      </c>
      <c r="B115" s="10">
        <v>35201</v>
      </c>
      <c r="C115" s="8" t="s">
        <v>233</v>
      </c>
      <c r="D115" s="53"/>
      <c r="E115" s="53"/>
      <c r="G115"/>
      <c r="H115"/>
      <c r="I115"/>
    </row>
    <row r="116" spans="1:9" x14ac:dyDescent="0.25">
      <c r="A116" s="10" t="s">
        <v>234</v>
      </c>
      <c r="B116" s="10">
        <v>35301</v>
      </c>
      <c r="C116" s="8" t="s">
        <v>235</v>
      </c>
      <c r="D116" s="53"/>
      <c r="E116" s="53"/>
    </row>
    <row r="117" spans="1:9" x14ac:dyDescent="0.25">
      <c r="A117" s="10" t="s">
        <v>236</v>
      </c>
      <c r="B117" s="10">
        <v>35401</v>
      </c>
      <c r="C117" s="8" t="s">
        <v>237</v>
      </c>
      <c r="D117" s="53">
        <v>914.5</v>
      </c>
      <c r="E117" s="53"/>
    </row>
    <row r="118" spans="1:9" x14ac:dyDescent="0.25">
      <c r="A118" s="10" t="s">
        <v>238</v>
      </c>
      <c r="B118" s="10">
        <v>35501</v>
      </c>
      <c r="C118" s="8" t="s">
        <v>239</v>
      </c>
      <c r="D118" s="53"/>
      <c r="E118" s="53"/>
    </row>
    <row r="119" spans="1:9" x14ac:dyDescent="0.25">
      <c r="A119" s="10" t="s">
        <v>240</v>
      </c>
      <c r="B119" s="10">
        <v>36101</v>
      </c>
      <c r="C119" s="8" t="s">
        <v>241</v>
      </c>
      <c r="D119" s="53"/>
      <c r="E119" s="53"/>
    </row>
    <row r="120" spans="1:9" x14ac:dyDescent="0.25">
      <c r="A120" s="10"/>
      <c r="B120" s="10">
        <v>36102</v>
      </c>
      <c r="C120" s="8" t="s">
        <v>242</v>
      </c>
      <c r="D120" s="53"/>
      <c r="E120" s="53"/>
    </row>
    <row r="121" spans="1:9" x14ac:dyDescent="0.25">
      <c r="A121" s="10" t="s">
        <v>243</v>
      </c>
      <c r="B121" s="10">
        <v>36104</v>
      </c>
      <c r="C121" s="8" t="s">
        <v>244</v>
      </c>
      <c r="D121" s="53"/>
      <c r="E121" s="53"/>
    </row>
    <row r="122" spans="1:9" x14ac:dyDescent="0.25">
      <c r="A122" s="10" t="s">
        <v>245</v>
      </c>
      <c r="B122" s="10">
        <v>36201</v>
      </c>
      <c r="C122" s="8" t="s">
        <v>246</v>
      </c>
      <c r="D122" s="53"/>
      <c r="E122" s="53"/>
    </row>
    <row r="123" spans="1:9" x14ac:dyDescent="0.25">
      <c r="A123" s="10" t="s">
        <v>247</v>
      </c>
      <c r="B123" s="10">
        <v>36202</v>
      </c>
      <c r="C123" s="8" t="s">
        <v>248</v>
      </c>
      <c r="D123" s="53"/>
      <c r="E123" s="53"/>
    </row>
    <row r="124" spans="1:9" x14ac:dyDescent="0.25">
      <c r="A124" s="10" t="s">
        <v>249</v>
      </c>
      <c r="B124" s="10">
        <v>36203</v>
      </c>
      <c r="C124" s="8" t="s">
        <v>250</v>
      </c>
      <c r="D124" s="53"/>
      <c r="E124" s="53"/>
    </row>
    <row r="125" spans="1:9" x14ac:dyDescent="0.25">
      <c r="A125" s="10" t="s">
        <v>251</v>
      </c>
      <c r="B125" s="10">
        <v>36301</v>
      </c>
      <c r="C125" s="8" t="s">
        <v>252</v>
      </c>
      <c r="D125" s="53"/>
      <c r="E125" s="53"/>
    </row>
    <row r="126" spans="1:9" x14ac:dyDescent="0.25">
      <c r="A126" s="10"/>
      <c r="B126" s="10">
        <v>36302</v>
      </c>
      <c r="C126" s="8" t="s">
        <v>248</v>
      </c>
      <c r="D126" s="53"/>
      <c r="E126" s="53"/>
    </row>
    <row r="127" spans="1:9" x14ac:dyDescent="0.25">
      <c r="A127" s="10" t="s">
        <v>253</v>
      </c>
      <c r="B127" s="10">
        <v>36303</v>
      </c>
      <c r="C127" s="8" t="s">
        <v>254</v>
      </c>
      <c r="D127" s="53"/>
      <c r="E127" s="53"/>
    </row>
    <row r="128" spans="1:9" x14ac:dyDescent="0.25">
      <c r="A128" s="10" t="s">
        <v>255</v>
      </c>
      <c r="B128" s="10">
        <v>36304</v>
      </c>
      <c r="C128" s="8" t="s">
        <v>256</v>
      </c>
      <c r="D128" s="53">
        <v>2746</v>
      </c>
      <c r="E128" s="53"/>
    </row>
    <row r="129" spans="1:9" s="1" customFormat="1" x14ac:dyDescent="0.25">
      <c r="A129" s="10" t="s">
        <v>255</v>
      </c>
      <c r="B129" s="10">
        <v>36306</v>
      </c>
      <c r="C129" s="8" t="s">
        <v>257</v>
      </c>
      <c r="D129" s="53"/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258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/>
      <c r="D131" s="53"/>
      <c r="E131" s="53"/>
      <c r="G131"/>
      <c r="H131"/>
      <c r="I131"/>
    </row>
    <row r="132" spans="1:9" s="1" customFormat="1" x14ac:dyDescent="0.25">
      <c r="A132" s="10" t="s">
        <v>243</v>
      </c>
      <c r="B132" s="51">
        <v>36403</v>
      </c>
      <c r="C132" s="52" t="s">
        <v>259</v>
      </c>
      <c r="D132" s="53"/>
      <c r="E132" s="53"/>
      <c r="G132"/>
      <c r="H132"/>
      <c r="I132"/>
    </row>
    <row r="133" spans="1:9" s="1" customFormat="1" x14ac:dyDescent="0.25">
      <c r="A133" s="10" t="s">
        <v>260</v>
      </c>
      <c r="B133" s="51">
        <v>37101</v>
      </c>
      <c r="C133" s="52" t="s">
        <v>261</v>
      </c>
      <c r="D133" s="53"/>
      <c r="E133" s="53"/>
      <c r="G133"/>
      <c r="H133"/>
      <c r="I133"/>
    </row>
    <row r="134" spans="1:9" s="1" customFormat="1" x14ac:dyDescent="0.25">
      <c r="A134" s="10" t="s">
        <v>262</v>
      </c>
      <c r="B134" s="51">
        <v>37102</v>
      </c>
      <c r="C134" s="52" t="s">
        <v>263</v>
      </c>
      <c r="D134" s="53"/>
      <c r="E134" s="53"/>
      <c r="G134"/>
      <c r="H134"/>
      <c r="I134"/>
    </row>
    <row r="135" spans="1:9" s="1" customFormat="1" x14ac:dyDescent="0.25">
      <c r="A135" s="10" t="s">
        <v>264</v>
      </c>
      <c r="B135" s="51">
        <v>37104</v>
      </c>
      <c r="C135" s="52" t="s">
        <v>265</v>
      </c>
      <c r="D135" s="53"/>
      <c r="E135" s="53"/>
      <c r="G135"/>
      <c r="H135"/>
      <c r="I135"/>
    </row>
    <row r="136" spans="1:9" s="1" customFormat="1" x14ac:dyDescent="0.25">
      <c r="A136" s="10" t="s">
        <v>266</v>
      </c>
      <c r="B136" s="51">
        <v>37105</v>
      </c>
      <c r="C136" s="52" t="s">
        <v>267</v>
      </c>
      <c r="D136" s="53">
        <v>325</v>
      </c>
      <c r="E136" s="53"/>
      <c r="G136"/>
      <c r="H136"/>
      <c r="I136"/>
    </row>
    <row r="137" spans="1:9" s="1" customFormat="1" x14ac:dyDescent="0.25">
      <c r="A137" s="10" t="s">
        <v>268</v>
      </c>
      <c r="B137" s="51">
        <v>37106</v>
      </c>
      <c r="C137" s="52" t="s">
        <v>269</v>
      </c>
      <c r="D137" s="53"/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270</v>
      </c>
      <c r="D138" s="53"/>
      <c r="E138" s="53"/>
      <c r="G138"/>
      <c r="H138"/>
      <c r="I138"/>
    </row>
    <row r="139" spans="1:9" s="1" customFormat="1" x14ac:dyDescent="0.25">
      <c r="A139" s="10" t="s">
        <v>271</v>
      </c>
      <c r="B139" s="10">
        <v>37203</v>
      </c>
      <c r="C139" s="8" t="s">
        <v>272</v>
      </c>
      <c r="D139" s="53"/>
      <c r="E139" s="53"/>
      <c r="G139"/>
      <c r="H139"/>
      <c r="I139"/>
    </row>
    <row r="140" spans="1:9" s="1" customFormat="1" x14ac:dyDescent="0.25">
      <c r="A140" s="10" t="s">
        <v>273</v>
      </c>
      <c r="B140" s="10">
        <v>37205</v>
      </c>
      <c r="C140" s="8" t="s">
        <v>274</v>
      </c>
      <c r="D140" s="53"/>
      <c r="E140" s="53"/>
      <c r="G140"/>
      <c r="H140"/>
      <c r="I140"/>
    </row>
    <row r="141" spans="1:9" s="1" customFormat="1" x14ac:dyDescent="0.25">
      <c r="A141" s="10" t="s">
        <v>275</v>
      </c>
      <c r="B141" s="10">
        <v>37206</v>
      </c>
      <c r="C141" s="8" t="s">
        <v>276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277</v>
      </c>
      <c r="D142" s="53"/>
      <c r="E142" s="53"/>
      <c r="G142"/>
      <c r="H142"/>
      <c r="I142"/>
    </row>
    <row r="143" spans="1:9" s="1" customFormat="1" x14ac:dyDescent="0.25">
      <c r="A143" s="10" t="s">
        <v>278</v>
      </c>
      <c r="B143" s="51">
        <v>39101</v>
      </c>
      <c r="C143" s="52" t="s">
        <v>279</v>
      </c>
      <c r="D143" s="53"/>
      <c r="E143" s="53"/>
      <c r="G143"/>
      <c r="H143"/>
      <c r="I143"/>
    </row>
    <row r="144" spans="1:9" s="1" customFormat="1" ht="30" x14ac:dyDescent="0.25">
      <c r="A144" s="10" t="s">
        <v>280</v>
      </c>
      <c r="B144" s="51">
        <v>39201</v>
      </c>
      <c r="C144" s="52" t="s">
        <v>281</v>
      </c>
      <c r="D144" s="53"/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282</v>
      </c>
      <c r="D145" s="53"/>
      <c r="E145" s="53"/>
      <c r="G145"/>
      <c r="H145"/>
      <c r="I145"/>
    </row>
    <row r="146" spans="1:9" s="1" customFormat="1" x14ac:dyDescent="0.25">
      <c r="A146" s="10" t="s">
        <v>283</v>
      </c>
      <c r="B146" s="51">
        <v>39501</v>
      </c>
      <c r="C146" s="52" t="s">
        <v>284</v>
      </c>
      <c r="D146" s="53"/>
      <c r="E146" s="53"/>
      <c r="G146"/>
      <c r="H146"/>
      <c r="I146"/>
    </row>
    <row r="147" spans="1:9" s="1" customFormat="1" x14ac:dyDescent="0.25">
      <c r="A147" s="10" t="s">
        <v>285</v>
      </c>
      <c r="B147" s="10">
        <v>39601</v>
      </c>
      <c r="C147" s="8" t="s">
        <v>286</v>
      </c>
      <c r="D147" s="53"/>
      <c r="E147" s="53"/>
      <c r="G147"/>
      <c r="H147"/>
      <c r="I147"/>
    </row>
    <row r="148" spans="1:9" s="1" customFormat="1" x14ac:dyDescent="0.25">
      <c r="A148" s="10" t="s">
        <v>287</v>
      </c>
      <c r="B148" s="10">
        <v>39801</v>
      </c>
      <c r="C148" s="8" t="s">
        <v>288</v>
      </c>
      <c r="D148" s="53"/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353</v>
      </c>
      <c r="D149" s="53"/>
      <c r="E149" s="53"/>
      <c r="G149"/>
      <c r="H149"/>
      <c r="I149"/>
    </row>
    <row r="150" spans="1:9" s="1" customFormat="1" x14ac:dyDescent="0.25">
      <c r="A150" s="10" t="s">
        <v>289</v>
      </c>
      <c r="B150" s="10">
        <v>39901</v>
      </c>
      <c r="C150" s="8" t="s">
        <v>290</v>
      </c>
      <c r="D150" s="53"/>
      <c r="E150" s="53"/>
      <c r="G150"/>
      <c r="H150"/>
      <c r="I150"/>
    </row>
    <row r="151" spans="1:9" s="1" customFormat="1" x14ac:dyDescent="0.25">
      <c r="A151" s="10" t="s">
        <v>289</v>
      </c>
      <c r="B151" s="10">
        <v>39902</v>
      </c>
      <c r="C151" s="8" t="s">
        <v>291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292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293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294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295</v>
      </c>
      <c r="B155" s="10">
        <v>41103</v>
      </c>
      <c r="C155" s="8" t="s">
        <v>296</v>
      </c>
      <c r="D155" s="53"/>
      <c r="E155" s="53"/>
      <c r="G155"/>
      <c r="H155"/>
      <c r="I155"/>
    </row>
    <row r="156" spans="1:9" s="1" customFormat="1" ht="30" x14ac:dyDescent="0.25">
      <c r="A156" s="10" t="s">
        <v>297</v>
      </c>
      <c r="B156" s="10">
        <v>41201</v>
      </c>
      <c r="C156" s="8" t="s">
        <v>298</v>
      </c>
      <c r="D156" s="53"/>
      <c r="E156" s="53"/>
      <c r="G156"/>
      <c r="H156"/>
      <c r="I156"/>
    </row>
    <row r="157" spans="1:9" s="1" customFormat="1" ht="30" x14ac:dyDescent="0.25">
      <c r="A157" s="10" t="s">
        <v>299</v>
      </c>
      <c r="B157" s="10">
        <v>41202</v>
      </c>
      <c r="C157" s="8" t="s">
        <v>300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301</v>
      </c>
      <c r="D158" s="9"/>
      <c r="E158" s="9"/>
      <c r="G158"/>
      <c r="H158"/>
      <c r="I158"/>
    </row>
    <row r="159" spans="1:9" s="1" customFormat="1" x14ac:dyDescent="0.25">
      <c r="A159" s="10" t="s">
        <v>302</v>
      </c>
      <c r="B159" s="10">
        <v>41402</v>
      </c>
      <c r="C159" s="8" t="s">
        <v>303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304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305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306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307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308</v>
      </c>
      <c r="D164" s="9"/>
      <c r="E164" s="9"/>
      <c r="G164"/>
      <c r="H164"/>
      <c r="I164"/>
    </row>
    <row r="165" spans="1:9" s="1" customFormat="1" x14ac:dyDescent="0.25">
      <c r="A165" s="10" t="s">
        <v>309</v>
      </c>
      <c r="B165" s="10">
        <v>44102</v>
      </c>
      <c r="C165" s="8" t="s">
        <v>310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311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358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77</v>
      </c>
      <c r="D168" s="15"/>
      <c r="E168" s="62">
        <f>+E9-E16</f>
        <v>907966839.75000012</v>
      </c>
      <c r="G168"/>
      <c r="H168"/>
      <c r="I168"/>
    </row>
    <row r="169" spans="1:9" s="1" customFormat="1" x14ac:dyDescent="0.25">
      <c r="A169" s="10"/>
      <c r="B169" s="10" t="s">
        <v>314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77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315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316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42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315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317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318</v>
      </c>
      <c r="C176" s="98"/>
      <c r="D176" s="66">
        <f>+E9-E16</f>
        <v>907966839.75000012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319</v>
      </c>
      <c r="B184" s="11">
        <v>6</v>
      </c>
      <c r="C184" s="5" t="s">
        <v>320</v>
      </c>
      <c r="D184" s="12">
        <f>SUM(D185:D206)</f>
        <v>0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321</v>
      </c>
      <c r="D185" s="53"/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322</v>
      </c>
      <c r="D186" s="53"/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323</v>
      </c>
      <c r="D187" s="53"/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324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325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326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327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328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329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330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331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332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333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334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335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336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337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338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339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340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341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342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359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343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344</v>
      </c>
      <c r="B209" s="10">
        <v>71201</v>
      </c>
      <c r="C209" s="8" t="s">
        <v>345</v>
      </c>
      <c r="D209" s="24"/>
      <c r="E209" s="25"/>
      <c r="G209"/>
      <c r="H209"/>
      <c r="I209"/>
    </row>
    <row r="210" spans="1:9" s="1" customFormat="1" x14ac:dyDescent="0.25">
      <c r="A210" s="27" t="s">
        <v>346</v>
      </c>
      <c r="B210" s="10">
        <v>71501</v>
      </c>
      <c r="C210" s="8" t="s">
        <v>347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0</v>
      </c>
      <c r="E211" s="19"/>
      <c r="G211"/>
      <c r="H211"/>
      <c r="I211"/>
    </row>
    <row r="212" spans="1:9" s="1" customFormat="1" x14ac:dyDescent="0.25">
      <c r="A212"/>
      <c r="B212"/>
      <c r="C212" s="2" t="s">
        <v>348</v>
      </c>
      <c r="E212" s="21"/>
      <c r="G212"/>
      <c r="H212"/>
      <c r="I212"/>
    </row>
    <row r="213" spans="1:9" s="1" customFormat="1" x14ac:dyDescent="0.25">
      <c r="A213"/>
      <c r="B213"/>
      <c r="C213" s="2" t="s">
        <v>349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7" zoomScale="120" zoomScaleNormal="120" zoomScaleSheetLayoutView="100" workbookViewId="0">
      <selection activeCell="D11" sqref="D11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55</v>
      </c>
      <c r="B1" s="101"/>
      <c r="C1" s="101"/>
      <c r="D1" s="101"/>
      <c r="E1" s="101"/>
    </row>
    <row r="2" spans="1:7" ht="18" x14ac:dyDescent="0.25">
      <c r="A2" s="102" t="s">
        <v>2</v>
      </c>
      <c r="B2" s="102"/>
      <c r="C2" s="102"/>
      <c r="D2" s="102"/>
      <c r="E2" s="102"/>
    </row>
    <row r="3" spans="1:7" ht="15.75" x14ac:dyDescent="0.25">
      <c r="A3" s="103" t="s">
        <v>56</v>
      </c>
      <c r="B3" s="103"/>
      <c r="C3" s="103"/>
      <c r="D3" s="103"/>
      <c r="E3" s="103"/>
    </row>
    <row r="4" spans="1:7" x14ac:dyDescent="0.25">
      <c r="A4" s="96" t="s">
        <v>57</v>
      </c>
      <c r="B4" s="96"/>
      <c r="C4" s="96"/>
      <c r="D4" s="96"/>
      <c r="E4" s="96"/>
    </row>
    <row r="5" spans="1:7" x14ac:dyDescent="0.25">
      <c r="A5" s="96" t="s">
        <v>58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59</v>
      </c>
      <c r="B8" s="99"/>
      <c r="C8" s="100"/>
      <c r="D8" s="3" t="s">
        <v>363</v>
      </c>
      <c r="E8" s="3"/>
    </row>
    <row r="9" spans="1:7" x14ac:dyDescent="0.25">
      <c r="A9" s="69" t="s">
        <v>61</v>
      </c>
      <c r="B9" s="70" t="s">
        <v>62</v>
      </c>
      <c r="C9" s="63" t="s">
        <v>63</v>
      </c>
      <c r="D9" s="71">
        <f>SUM(D10:D14)</f>
        <v>961181451.8900001</v>
      </c>
      <c r="E9" s="71">
        <f>+E15</f>
        <v>961181451.8900001</v>
      </c>
    </row>
    <row r="10" spans="1:7" x14ac:dyDescent="0.25">
      <c r="A10" s="10" t="s">
        <v>64</v>
      </c>
      <c r="B10" s="7" t="s">
        <v>65</v>
      </c>
      <c r="C10" s="8" t="s">
        <v>66</v>
      </c>
      <c r="D10" s="53">
        <v>365369045.75</v>
      </c>
      <c r="E10" s="9"/>
    </row>
    <row r="11" spans="1:7" x14ac:dyDescent="0.25">
      <c r="A11" s="10" t="s">
        <v>67</v>
      </c>
      <c r="B11" s="7" t="s">
        <v>68</v>
      </c>
      <c r="C11" s="8" t="s">
        <v>69</v>
      </c>
      <c r="D11" s="53">
        <v>594326675.20000005</v>
      </c>
      <c r="E11" s="9"/>
    </row>
    <row r="12" spans="1:7" x14ac:dyDescent="0.25">
      <c r="A12" s="51" t="s">
        <v>70</v>
      </c>
      <c r="B12" s="56" t="s">
        <v>71</v>
      </c>
      <c r="C12" s="51" t="s">
        <v>72</v>
      </c>
      <c r="D12" s="53">
        <v>15360</v>
      </c>
      <c r="E12" s="53"/>
    </row>
    <row r="13" spans="1:7" x14ac:dyDescent="0.25">
      <c r="A13" s="10" t="s">
        <v>73</v>
      </c>
      <c r="B13" s="7" t="s">
        <v>74</v>
      </c>
      <c r="C13" s="8" t="s">
        <v>75</v>
      </c>
      <c r="D13" s="53">
        <v>1470370.94</v>
      </c>
      <c r="E13" s="9"/>
      <c r="G13" s="37"/>
    </row>
    <row r="14" spans="1:7" hidden="1" x14ac:dyDescent="0.25">
      <c r="A14" s="10"/>
      <c r="B14" s="7"/>
      <c r="C14" s="8" t="s">
        <v>76</v>
      </c>
      <c r="D14" s="9"/>
      <c r="E14" s="9"/>
    </row>
    <row r="15" spans="1:7" x14ac:dyDescent="0.25">
      <c r="A15" s="10"/>
      <c r="B15" s="10"/>
      <c r="C15" s="8" t="s">
        <v>77</v>
      </c>
      <c r="D15" s="9"/>
      <c r="E15" s="9">
        <f>SUM(D10:D14)</f>
        <v>961181451.8900001</v>
      </c>
    </row>
    <row r="16" spans="1:7" x14ac:dyDescent="0.25">
      <c r="A16" s="51"/>
      <c r="B16" s="51"/>
      <c r="C16" s="63" t="s">
        <v>78</v>
      </c>
      <c r="D16" s="64">
        <f>+D18+D23+D25+D28+D29+D33+D40+D41+D42+D44+D47+D48+D49+D51+D66+D67+D77+D82+D84+D90+D91+D98+D102+D103+D104+D105+D109+D116+D117+D118+D119+D128+D129+D131+D137+D139+D141+D142+D143+D144+D146+D147+D148+D149+D150+D152+D185+D186+D187+D194+D197+D199+D201+D204+D207+D46+D50+D53+D57+D92+D94+D95+D101+D108+D135</f>
        <v>60731812.020000011</v>
      </c>
      <c r="E16" s="64">
        <f>+D16</f>
        <v>60731812.020000011</v>
      </c>
    </row>
    <row r="17" spans="1:9" x14ac:dyDescent="0.25">
      <c r="A17" s="51"/>
      <c r="B17" s="51">
        <v>1</v>
      </c>
      <c r="C17" s="63" t="s">
        <v>79</v>
      </c>
      <c r="D17" s="57">
        <f>SUM(D18:D42)</f>
        <v>32579590.519999996</v>
      </c>
      <c r="E17" s="57" t="s">
        <v>3</v>
      </c>
    </row>
    <row r="18" spans="1:9" x14ac:dyDescent="0.25">
      <c r="A18" s="51" t="s">
        <v>80</v>
      </c>
      <c r="B18" s="51">
        <v>11101</v>
      </c>
      <c r="C18" s="52" t="s">
        <v>81</v>
      </c>
      <c r="D18" s="53">
        <f>925000+19134336.2</f>
        <v>20059336.199999999</v>
      </c>
      <c r="E18" s="53"/>
    </row>
    <row r="19" spans="1:9" x14ac:dyDescent="0.25">
      <c r="A19" s="10" t="s">
        <v>82</v>
      </c>
      <c r="B19" s="10">
        <v>11201</v>
      </c>
      <c r="C19" s="8" t="s">
        <v>83</v>
      </c>
      <c r="D19" s="53"/>
      <c r="E19" s="53"/>
    </row>
    <row r="20" spans="1:9" x14ac:dyDescent="0.25">
      <c r="A20" s="10" t="s">
        <v>84</v>
      </c>
      <c r="B20" s="10">
        <v>11203</v>
      </c>
      <c r="C20" s="8" t="s">
        <v>85</v>
      </c>
      <c r="D20" s="53"/>
      <c r="E20" s="9"/>
    </row>
    <row r="21" spans="1:9" x14ac:dyDescent="0.25">
      <c r="A21" s="10" t="s">
        <v>86</v>
      </c>
      <c r="B21" s="10">
        <v>11204</v>
      </c>
      <c r="C21" s="8" t="s">
        <v>87</v>
      </c>
      <c r="D21" s="53"/>
      <c r="E21" s="9"/>
    </row>
    <row r="22" spans="1:9" ht="30" x14ac:dyDescent="0.25">
      <c r="A22" s="10" t="s">
        <v>88</v>
      </c>
      <c r="B22" s="10">
        <v>11205</v>
      </c>
      <c r="C22" s="8" t="s">
        <v>89</v>
      </c>
      <c r="D22" s="65"/>
      <c r="E22" s="9"/>
    </row>
    <row r="23" spans="1:9" ht="30" x14ac:dyDescent="0.25">
      <c r="A23" s="10"/>
      <c r="B23" s="10">
        <v>11208</v>
      </c>
      <c r="C23" s="8" t="s">
        <v>90</v>
      </c>
      <c r="D23" s="65">
        <v>6515000</v>
      </c>
      <c r="E23" s="9"/>
    </row>
    <row r="24" spans="1:9" ht="30" x14ac:dyDescent="0.25">
      <c r="A24" s="10"/>
      <c r="B24" s="10">
        <v>11210</v>
      </c>
      <c r="C24" s="8" t="s">
        <v>91</v>
      </c>
      <c r="D24" s="53"/>
      <c r="E24" s="53"/>
    </row>
    <row r="25" spans="1:9" x14ac:dyDescent="0.25">
      <c r="A25" s="10"/>
      <c r="B25" s="10">
        <v>11211</v>
      </c>
      <c r="C25" s="8" t="s">
        <v>92</v>
      </c>
      <c r="D25" s="53">
        <v>49000</v>
      </c>
      <c r="E25" s="53"/>
    </row>
    <row r="26" spans="1:9" x14ac:dyDescent="0.25">
      <c r="A26" s="10" t="s">
        <v>93</v>
      </c>
      <c r="B26" s="10">
        <v>11401</v>
      </c>
      <c r="C26" s="8" t="s">
        <v>94</v>
      </c>
      <c r="D26" s="53"/>
      <c r="E26" s="53"/>
    </row>
    <row r="27" spans="1:9" x14ac:dyDescent="0.25">
      <c r="A27" s="10" t="s">
        <v>95</v>
      </c>
      <c r="B27" s="10">
        <v>11501</v>
      </c>
      <c r="C27" s="8" t="s">
        <v>96</v>
      </c>
      <c r="D27" s="53"/>
      <c r="E27" s="53"/>
    </row>
    <row r="28" spans="1:9" ht="30" x14ac:dyDescent="0.25">
      <c r="A28" s="10"/>
      <c r="B28" s="10">
        <v>11503</v>
      </c>
      <c r="C28" s="8" t="s">
        <v>97</v>
      </c>
      <c r="D28" s="53">
        <v>210000</v>
      </c>
      <c r="E28" s="53"/>
    </row>
    <row r="29" spans="1:9" x14ac:dyDescent="0.25">
      <c r="A29" s="10"/>
      <c r="B29" s="10">
        <v>11504</v>
      </c>
      <c r="C29" s="8" t="s">
        <v>98</v>
      </c>
      <c r="D29" s="53">
        <v>252468.84</v>
      </c>
      <c r="E29" s="53"/>
    </row>
    <row r="30" spans="1:9" x14ac:dyDescent="0.25">
      <c r="A30" s="10"/>
      <c r="B30" s="10">
        <v>12202</v>
      </c>
      <c r="C30" s="8" t="s">
        <v>99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100</v>
      </c>
      <c r="D31" s="53"/>
      <c r="E31" s="53"/>
    </row>
    <row r="32" spans="1:9" x14ac:dyDescent="0.25">
      <c r="A32" s="10" t="s">
        <v>101</v>
      </c>
      <c r="B32" s="10">
        <v>12204</v>
      </c>
      <c r="C32" s="8" t="s">
        <v>102</v>
      </c>
      <c r="D32" s="53"/>
      <c r="E32" s="53"/>
    </row>
    <row r="33" spans="1:5" x14ac:dyDescent="0.25">
      <c r="A33" s="10" t="s">
        <v>103</v>
      </c>
      <c r="B33" s="10">
        <v>12205</v>
      </c>
      <c r="C33" s="8" t="s">
        <v>104</v>
      </c>
      <c r="D33" s="53">
        <v>1460000</v>
      </c>
      <c r="E33" s="53"/>
    </row>
    <row r="34" spans="1:5" x14ac:dyDescent="0.25">
      <c r="A34" s="10" t="s">
        <v>105</v>
      </c>
      <c r="B34" s="10">
        <v>12206</v>
      </c>
      <c r="C34" s="8" t="s">
        <v>106</v>
      </c>
      <c r="D34" s="53"/>
      <c r="E34" s="53"/>
    </row>
    <row r="35" spans="1:5" x14ac:dyDescent="0.25">
      <c r="A35" s="10" t="s">
        <v>107</v>
      </c>
      <c r="B35" s="10">
        <v>12209</v>
      </c>
      <c r="C35" s="8" t="s">
        <v>108</v>
      </c>
      <c r="D35" s="53"/>
      <c r="E35" s="53"/>
    </row>
    <row r="36" spans="1:5" x14ac:dyDescent="0.25">
      <c r="A36" s="10"/>
      <c r="B36" s="10">
        <v>12210</v>
      </c>
      <c r="C36" s="8" t="s">
        <v>109</v>
      </c>
      <c r="D36" s="53"/>
      <c r="E36" s="53"/>
    </row>
    <row r="37" spans="1:5" ht="30" x14ac:dyDescent="0.25">
      <c r="A37" s="10"/>
      <c r="B37" s="10">
        <v>12215</v>
      </c>
      <c r="C37" s="8" t="s">
        <v>100</v>
      </c>
      <c r="D37" s="53"/>
      <c r="E37" s="53"/>
    </row>
    <row r="38" spans="1:5" x14ac:dyDescent="0.25">
      <c r="A38" s="10"/>
      <c r="B38" s="10">
        <v>13201</v>
      </c>
      <c r="C38" s="8" t="s">
        <v>110</v>
      </c>
      <c r="D38" s="53"/>
      <c r="E38" s="53"/>
    </row>
    <row r="39" spans="1:5" x14ac:dyDescent="0.25">
      <c r="A39" s="10" t="s">
        <v>111</v>
      </c>
      <c r="B39" s="10">
        <v>13101</v>
      </c>
      <c r="C39" s="8" t="s">
        <v>112</v>
      </c>
      <c r="D39" s="53"/>
      <c r="E39" s="53"/>
    </row>
    <row r="40" spans="1:5" x14ac:dyDescent="0.25">
      <c r="A40" s="10" t="s">
        <v>113</v>
      </c>
      <c r="B40" s="10">
        <v>15101</v>
      </c>
      <c r="C40" s="8" t="s">
        <v>114</v>
      </c>
      <c r="D40" s="54">
        <f>65582.5+1814753.65</f>
        <v>1880336.15</v>
      </c>
      <c r="E40" s="53"/>
    </row>
    <row r="41" spans="1:5" x14ac:dyDescent="0.25">
      <c r="A41" s="10" t="s">
        <v>115</v>
      </c>
      <c r="B41" s="10">
        <v>15201</v>
      </c>
      <c r="C41" s="8" t="s">
        <v>116</v>
      </c>
      <c r="D41" s="53">
        <f>65675+1824581.88</f>
        <v>1890256.88</v>
      </c>
      <c r="E41" s="53"/>
    </row>
    <row r="42" spans="1:5" ht="30" x14ac:dyDescent="0.25">
      <c r="A42" s="10"/>
      <c r="B42" s="10">
        <v>15301</v>
      </c>
      <c r="C42" s="8" t="s">
        <v>117</v>
      </c>
      <c r="D42" s="53">
        <f>10175+253017.45</f>
        <v>263192.45</v>
      </c>
      <c r="E42" s="53"/>
    </row>
    <row r="43" spans="1:5" x14ac:dyDescent="0.25">
      <c r="A43" s="51"/>
      <c r="B43" s="51">
        <v>2</v>
      </c>
      <c r="C43" s="63" t="s">
        <v>118</v>
      </c>
      <c r="D43" s="57"/>
      <c r="E43" s="57"/>
    </row>
    <row r="44" spans="1:5" x14ac:dyDescent="0.25">
      <c r="A44" s="10" t="s">
        <v>119</v>
      </c>
      <c r="B44" s="10">
        <v>21201</v>
      </c>
      <c r="C44" s="8" t="s">
        <v>120</v>
      </c>
      <c r="D44" s="54">
        <v>19610</v>
      </c>
      <c r="E44" s="53"/>
    </row>
    <row r="45" spans="1:5" x14ac:dyDescent="0.25">
      <c r="A45" s="10" t="s">
        <v>121</v>
      </c>
      <c r="B45" s="10">
        <v>21301</v>
      </c>
      <c r="C45" s="8" t="s">
        <v>122</v>
      </c>
      <c r="D45" s="53"/>
      <c r="E45" s="53"/>
    </row>
    <row r="46" spans="1:5" x14ac:dyDescent="0.25">
      <c r="A46" s="10" t="s">
        <v>123</v>
      </c>
      <c r="B46" s="10">
        <v>21401</v>
      </c>
      <c r="C46" s="8" t="s">
        <v>124</v>
      </c>
      <c r="D46" s="53">
        <v>2250</v>
      </c>
      <c r="E46" s="53"/>
    </row>
    <row r="47" spans="1:5" x14ac:dyDescent="0.25">
      <c r="A47" s="10" t="s">
        <v>125</v>
      </c>
      <c r="B47" s="10">
        <v>21501</v>
      </c>
      <c r="C47" s="8" t="s">
        <v>126</v>
      </c>
      <c r="D47" s="53">
        <v>525252.75</v>
      </c>
      <c r="E47" s="53"/>
    </row>
    <row r="48" spans="1:5" x14ac:dyDescent="0.25">
      <c r="A48" s="10" t="s">
        <v>127</v>
      </c>
      <c r="B48" s="10">
        <v>21601</v>
      </c>
      <c r="C48" s="8" t="s">
        <v>128</v>
      </c>
      <c r="D48" s="53">
        <v>1596006.21</v>
      </c>
      <c r="E48" s="53"/>
    </row>
    <row r="49" spans="1:6" x14ac:dyDescent="0.25">
      <c r="A49" s="10" t="s">
        <v>129</v>
      </c>
      <c r="B49" s="10">
        <v>21701</v>
      </c>
      <c r="C49" s="8" t="s">
        <v>130</v>
      </c>
      <c r="D49" s="53">
        <f>450+5940</f>
        <v>6390</v>
      </c>
      <c r="E49" s="53"/>
      <c r="F49" s="60"/>
    </row>
    <row r="50" spans="1:6" x14ac:dyDescent="0.25">
      <c r="A50" s="10" t="s">
        <v>131</v>
      </c>
      <c r="B50" s="10">
        <v>21801</v>
      </c>
      <c r="C50" s="8" t="s">
        <v>132</v>
      </c>
      <c r="D50" s="53">
        <v>1000</v>
      </c>
      <c r="E50" s="53"/>
      <c r="F50" s="60"/>
    </row>
    <row r="51" spans="1:6" x14ac:dyDescent="0.25">
      <c r="A51" s="10" t="s">
        <v>133</v>
      </c>
      <c r="B51" s="10">
        <v>22101</v>
      </c>
      <c r="C51" s="8" t="s">
        <v>134</v>
      </c>
      <c r="D51" s="53">
        <v>241900</v>
      </c>
      <c r="E51" s="53"/>
      <c r="F51" s="60"/>
    </row>
    <row r="52" spans="1:6" x14ac:dyDescent="0.25">
      <c r="A52" s="10" t="s">
        <v>135</v>
      </c>
      <c r="B52" s="10">
        <v>22201</v>
      </c>
      <c r="C52" s="8" t="s">
        <v>136</v>
      </c>
      <c r="D52" s="53"/>
      <c r="E52" s="53"/>
      <c r="F52" s="60"/>
    </row>
    <row r="53" spans="1:6" x14ac:dyDescent="0.25">
      <c r="A53" s="10" t="s">
        <v>137</v>
      </c>
      <c r="B53" s="10">
        <v>23101</v>
      </c>
      <c r="C53" s="8" t="s">
        <v>138</v>
      </c>
      <c r="D53" s="53">
        <v>465250</v>
      </c>
      <c r="E53" s="53"/>
      <c r="F53" s="60"/>
    </row>
    <row r="54" spans="1:6" x14ac:dyDescent="0.25">
      <c r="A54" s="10" t="s">
        <v>139</v>
      </c>
      <c r="B54" s="10">
        <v>23201</v>
      </c>
      <c r="C54" s="8" t="s">
        <v>140</v>
      </c>
      <c r="D54" s="53"/>
      <c r="E54" s="53"/>
    </row>
    <row r="55" spans="1:6" x14ac:dyDescent="0.25">
      <c r="A55" s="10" t="s">
        <v>141</v>
      </c>
      <c r="B55" s="10">
        <v>24101</v>
      </c>
      <c r="C55" s="8" t="s">
        <v>142</v>
      </c>
      <c r="D55" s="53"/>
      <c r="E55" s="53"/>
    </row>
    <row r="56" spans="1:6" x14ac:dyDescent="0.25">
      <c r="A56" s="10" t="s">
        <v>143</v>
      </c>
      <c r="B56" s="10">
        <v>24201</v>
      </c>
      <c r="C56" s="8" t="s">
        <v>144</v>
      </c>
      <c r="D56" s="53"/>
      <c r="E56" s="53"/>
    </row>
    <row r="57" spans="1:6" x14ac:dyDescent="0.25">
      <c r="A57" s="10" t="s">
        <v>145</v>
      </c>
      <c r="B57" s="10">
        <v>24401</v>
      </c>
      <c r="C57" s="8" t="s">
        <v>146</v>
      </c>
      <c r="D57" s="53">
        <v>2060</v>
      </c>
      <c r="E57" s="53"/>
    </row>
    <row r="58" spans="1:6" x14ac:dyDescent="0.25">
      <c r="A58" s="10" t="s">
        <v>147</v>
      </c>
      <c r="B58" s="10">
        <v>25101</v>
      </c>
      <c r="C58" s="8" t="s">
        <v>148</v>
      </c>
      <c r="D58" s="53"/>
      <c r="E58" s="53"/>
    </row>
    <row r="59" spans="1:6" x14ac:dyDescent="0.25">
      <c r="A59" s="10"/>
      <c r="B59" s="10">
        <v>25302</v>
      </c>
      <c r="C59" s="8" t="s">
        <v>149</v>
      </c>
      <c r="D59" s="53"/>
      <c r="E59" s="53"/>
    </row>
    <row r="60" spans="1:6" x14ac:dyDescent="0.25">
      <c r="A60" s="10"/>
      <c r="B60" s="10">
        <v>25303</v>
      </c>
      <c r="C60" s="8" t="s">
        <v>150</v>
      </c>
      <c r="D60" s="53"/>
      <c r="E60" s="53"/>
    </row>
    <row r="61" spans="1:6" ht="30" x14ac:dyDescent="0.25">
      <c r="A61" s="10"/>
      <c r="B61" s="10">
        <v>25304</v>
      </c>
      <c r="C61" s="8" t="s">
        <v>151</v>
      </c>
      <c r="D61" s="53"/>
      <c r="E61" s="53"/>
    </row>
    <row r="62" spans="1:6" ht="30" x14ac:dyDescent="0.25">
      <c r="A62" s="10" t="s">
        <v>152</v>
      </c>
      <c r="B62" s="10">
        <v>25401</v>
      </c>
      <c r="C62" s="8" t="s">
        <v>153</v>
      </c>
      <c r="D62" s="53"/>
      <c r="E62" s="53"/>
    </row>
    <row r="63" spans="1:6" x14ac:dyDescent="0.25">
      <c r="A63" s="10" t="s">
        <v>154</v>
      </c>
      <c r="B63" s="10">
        <v>25801</v>
      </c>
      <c r="C63" s="8" t="s">
        <v>155</v>
      </c>
      <c r="D63" s="53"/>
      <c r="E63" s="9"/>
    </row>
    <row r="64" spans="1:6" x14ac:dyDescent="0.25">
      <c r="A64" s="10"/>
      <c r="B64" s="10">
        <v>25901</v>
      </c>
      <c r="C64" s="8" t="s">
        <v>352</v>
      </c>
      <c r="D64" s="53"/>
      <c r="E64" s="53"/>
    </row>
    <row r="65" spans="1:9" ht="30" x14ac:dyDescent="0.25">
      <c r="A65" s="10"/>
      <c r="B65" s="10">
        <v>26101</v>
      </c>
      <c r="C65" s="8" t="s">
        <v>156</v>
      </c>
      <c r="D65" s="53"/>
      <c r="E65" s="53"/>
    </row>
    <row r="66" spans="1:9" s="1" customFormat="1" x14ac:dyDescent="0.25">
      <c r="A66" s="10" t="s">
        <v>157</v>
      </c>
      <c r="B66" s="10">
        <v>26201</v>
      </c>
      <c r="C66" s="8" t="s">
        <v>158</v>
      </c>
      <c r="D66" s="53">
        <v>525203</v>
      </c>
      <c r="E66" s="53"/>
      <c r="G66"/>
      <c r="H66"/>
      <c r="I66"/>
    </row>
    <row r="67" spans="1:9" s="1" customFormat="1" x14ac:dyDescent="0.25">
      <c r="A67" s="10" t="s">
        <v>159</v>
      </c>
      <c r="B67" s="10">
        <v>26301</v>
      </c>
      <c r="C67" s="8" t="s">
        <v>160</v>
      </c>
      <c r="D67" s="53">
        <v>781156.42</v>
      </c>
      <c r="E67" s="53"/>
      <c r="G67"/>
      <c r="H67"/>
      <c r="I67"/>
    </row>
    <row r="68" spans="1:9" s="1" customFormat="1" x14ac:dyDescent="0.25">
      <c r="A68" s="10" t="s">
        <v>161</v>
      </c>
      <c r="B68" s="10">
        <v>27101</v>
      </c>
      <c r="C68" s="8" t="s">
        <v>162</v>
      </c>
      <c r="D68" s="53"/>
      <c r="E68" s="9"/>
      <c r="G68"/>
      <c r="H68"/>
      <c r="I68"/>
    </row>
    <row r="69" spans="1:9" s="1" customFormat="1" x14ac:dyDescent="0.25">
      <c r="A69" s="10" t="s">
        <v>163</v>
      </c>
      <c r="B69" s="10">
        <v>27102</v>
      </c>
      <c r="C69" s="8" t="s">
        <v>164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165</v>
      </c>
      <c r="D70" s="53"/>
      <c r="E70" s="9"/>
      <c r="G70"/>
      <c r="H70"/>
      <c r="I70"/>
    </row>
    <row r="71" spans="1:9" s="1" customFormat="1" ht="30" x14ac:dyDescent="0.25">
      <c r="A71" s="10" t="s">
        <v>166</v>
      </c>
      <c r="B71" s="10">
        <v>27106</v>
      </c>
      <c r="C71" s="8" t="s">
        <v>167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168</v>
      </c>
      <c r="D72" s="53"/>
      <c r="E72" s="53"/>
      <c r="G72"/>
      <c r="H72"/>
      <c r="I72"/>
    </row>
    <row r="73" spans="1:9" s="1" customFormat="1" ht="30" x14ac:dyDescent="0.25">
      <c r="A73" s="10" t="s">
        <v>169</v>
      </c>
      <c r="B73" s="10">
        <v>27201</v>
      </c>
      <c r="C73" s="8" t="s">
        <v>170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171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172</v>
      </c>
      <c r="D75" s="53"/>
      <c r="E75" s="53"/>
      <c r="G75"/>
      <c r="H75"/>
      <c r="I75"/>
    </row>
    <row r="76" spans="1:9" s="1" customFormat="1" ht="30" x14ac:dyDescent="0.25">
      <c r="A76" s="10" t="s">
        <v>173</v>
      </c>
      <c r="B76" s="10">
        <v>27205</v>
      </c>
      <c r="C76" s="8" t="s">
        <v>174</v>
      </c>
      <c r="D76" s="53"/>
      <c r="E76" s="53"/>
      <c r="G76"/>
      <c r="H76"/>
      <c r="I76"/>
    </row>
    <row r="77" spans="1:9" s="1" customFormat="1" ht="30" x14ac:dyDescent="0.25">
      <c r="A77" s="10" t="s">
        <v>175</v>
      </c>
      <c r="B77" s="10">
        <v>27206</v>
      </c>
      <c r="C77" s="8" t="s">
        <v>176</v>
      </c>
      <c r="D77" s="53">
        <f>50688.42+26714.32</f>
        <v>77402.739999999991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177</v>
      </c>
      <c r="D78" s="53"/>
      <c r="E78" s="53"/>
      <c r="G78"/>
      <c r="H78"/>
      <c r="I78"/>
    </row>
    <row r="79" spans="1:9" s="1" customFormat="1" x14ac:dyDescent="0.25">
      <c r="A79" s="10" t="s">
        <v>178</v>
      </c>
      <c r="B79" s="10">
        <v>28201</v>
      </c>
      <c r="C79" s="8" t="s">
        <v>179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180</v>
      </c>
      <c r="D80" s="53"/>
      <c r="E80" s="53"/>
      <c r="G80"/>
      <c r="H80"/>
      <c r="I80"/>
    </row>
    <row r="81" spans="1:9" s="1" customFormat="1" x14ac:dyDescent="0.25">
      <c r="A81" s="10" t="s">
        <v>181</v>
      </c>
      <c r="B81" s="10">
        <v>28401</v>
      </c>
      <c r="C81" s="8" t="s">
        <v>182</v>
      </c>
      <c r="D81" s="53"/>
      <c r="E81" s="53"/>
      <c r="G81"/>
      <c r="H81"/>
      <c r="I81"/>
    </row>
    <row r="82" spans="1:9" s="1" customFormat="1" x14ac:dyDescent="0.25">
      <c r="A82" s="10" t="s">
        <v>183</v>
      </c>
      <c r="B82" s="10">
        <v>28501</v>
      </c>
      <c r="C82" s="8" t="s">
        <v>184</v>
      </c>
      <c r="D82" s="53">
        <v>63720</v>
      </c>
      <c r="E82" s="53"/>
      <c r="G82"/>
      <c r="H82"/>
      <c r="I82"/>
    </row>
    <row r="83" spans="1:9" s="1" customFormat="1" x14ac:dyDescent="0.25">
      <c r="A83" s="10" t="s">
        <v>185</v>
      </c>
      <c r="B83" s="10">
        <v>28502</v>
      </c>
      <c r="C83" s="8" t="s">
        <v>186</v>
      </c>
      <c r="D83" s="53"/>
      <c r="E83" s="53"/>
      <c r="G83"/>
      <c r="H83"/>
      <c r="I83"/>
    </row>
    <row r="84" spans="1:9" s="1" customFormat="1" x14ac:dyDescent="0.25">
      <c r="A84" s="10" t="s">
        <v>187</v>
      </c>
      <c r="B84" s="10">
        <v>28503</v>
      </c>
      <c r="C84" s="8" t="s">
        <v>188</v>
      </c>
      <c r="D84" s="53">
        <v>88500</v>
      </c>
      <c r="E84" s="53"/>
      <c r="G84"/>
      <c r="H84"/>
      <c r="I84"/>
    </row>
    <row r="85" spans="1:9" s="1" customFormat="1" x14ac:dyDescent="0.25">
      <c r="A85" s="10" t="s">
        <v>189</v>
      </c>
      <c r="B85" s="10">
        <v>28601</v>
      </c>
      <c r="C85" s="8" t="s">
        <v>190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191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192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193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194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195</v>
      </c>
      <c r="D90" s="53">
        <v>13216</v>
      </c>
      <c r="E90" s="53"/>
      <c r="G90"/>
      <c r="H90"/>
      <c r="I90"/>
    </row>
    <row r="91" spans="1:9" s="1" customFormat="1" x14ac:dyDescent="0.25">
      <c r="A91" s="10" t="s">
        <v>196</v>
      </c>
      <c r="B91" s="10">
        <v>28706</v>
      </c>
      <c r="C91" s="8" t="s">
        <v>197</v>
      </c>
      <c r="D91" s="53">
        <f>80000+4812</f>
        <v>84812</v>
      </c>
      <c r="E91" s="53"/>
      <c r="G91"/>
      <c r="H91"/>
      <c r="I91"/>
    </row>
    <row r="92" spans="1:9" s="1" customFormat="1" x14ac:dyDescent="0.25">
      <c r="A92" s="10" t="s">
        <v>198</v>
      </c>
      <c r="B92" s="10">
        <v>28801</v>
      </c>
      <c r="C92" s="8" t="s">
        <v>199</v>
      </c>
      <c r="D92" s="53">
        <v>15356.27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200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200</v>
      </c>
      <c r="D94" s="53">
        <v>1846.06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200</v>
      </c>
      <c r="D95" s="53">
        <v>1510.99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361</v>
      </c>
      <c r="D96" s="53"/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201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202</v>
      </c>
      <c r="D98" s="53">
        <v>2154774.4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362</v>
      </c>
      <c r="D99" s="53"/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203</v>
      </c>
      <c r="D100" s="57"/>
      <c r="E100" s="57"/>
      <c r="G100"/>
      <c r="H100"/>
      <c r="I100"/>
    </row>
    <row r="101" spans="1:9" s="1" customFormat="1" x14ac:dyDescent="0.25">
      <c r="A101" s="10" t="s">
        <v>204</v>
      </c>
      <c r="B101" s="10">
        <v>31101</v>
      </c>
      <c r="C101" s="8" t="s">
        <v>205</v>
      </c>
      <c r="D101" s="53">
        <v>46152.31</v>
      </c>
      <c r="E101" s="53"/>
      <c r="G101"/>
      <c r="H101"/>
      <c r="I101"/>
    </row>
    <row r="102" spans="1:9" s="1" customFormat="1" x14ac:dyDescent="0.25">
      <c r="A102" s="10" t="s">
        <v>206</v>
      </c>
      <c r="B102" s="10">
        <v>31303</v>
      </c>
      <c r="C102" s="8" t="s">
        <v>207</v>
      </c>
      <c r="D102" s="53">
        <v>173425.02</v>
      </c>
      <c r="E102" s="53"/>
      <c r="G102"/>
      <c r="H102"/>
      <c r="I102"/>
    </row>
    <row r="103" spans="1:9" s="1" customFormat="1" x14ac:dyDescent="0.25">
      <c r="A103" s="10" t="s">
        <v>208</v>
      </c>
      <c r="B103" s="10">
        <v>31401</v>
      </c>
      <c r="C103" s="8" t="s">
        <v>209</v>
      </c>
      <c r="D103" s="53">
        <v>743.4</v>
      </c>
      <c r="E103" s="53"/>
      <c r="G103"/>
      <c r="H103"/>
      <c r="I103"/>
    </row>
    <row r="104" spans="1:9" s="1" customFormat="1" x14ac:dyDescent="0.25">
      <c r="A104" s="10" t="s">
        <v>210</v>
      </c>
      <c r="B104" s="10">
        <v>32101</v>
      </c>
      <c r="C104" s="8" t="s">
        <v>211</v>
      </c>
      <c r="D104" s="53">
        <v>1705.1</v>
      </c>
      <c r="E104" s="53"/>
      <c r="G104"/>
      <c r="H104"/>
      <c r="I104"/>
    </row>
    <row r="105" spans="1:9" s="1" customFormat="1" x14ac:dyDescent="0.25">
      <c r="A105" s="10" t="s">
        <v>212</v>
      </c>
      <c r="B105" s="10">
        <v>32201</v>
      </c>
      <c r="C105" s="8" t="s">
        <v>213</v>
      </c>
      <c r="D105" s="53">
        <v>63720</v>
      </c>
      <c r="E105" s="53"/>
      <c r="G105"/>
      <c r="H105"/>
      <c r="I105"/>
    </row>
    <row r="106" spans="1:9" s="1" customFormat="1" x14ac:dyDescent="0.25">
      <c r="A106" s="10" t="s">
        <v>214</v>
      </c>
      <c r="B106" s="10">
        <v>32301</v>
      </c>
      <c r="C106" s="8" t="s">
        <v>215</v>
      </c>
      <c r="D106" s="53"/>
      <c r="E106" s="53"/>
      <c r="G106"/>
      <c r="H106"/>
      <c r="I106"/>
    </row>
    <row r="107" spans="1:9" s="1" customFormat="1" x14ac:dyDescent="0.25">
      <c r="A107" s="10" t="s">
        <v>216</v>
      </c>
      <c r="B107" s="10">
        <v>32401</v>
      </c>
      <c r="C107" s="8" t="s">
        <v>217</v>
      </c>
      <c r="D107" s="53"/>
      <c r="E107" s="53"/>
      <c r="G107"/>
      <c r="H107"/>
      <c r="I107"/>
    </row>
    <row r="108" spans="1:9" s="1" customFormat="1" x14ac:dyDescent="0.25">
      <c r="A108" s="10" t="s">
        <v>218</v>
      </c>
      <c r="B108" s="10">
        <v>33101</v>
      </c>
      <c r="C108" s="8" t="s">
        <v>219</v>
      </c>
      <c r="D108" s="53">
        <v>4000</v>
      </c>
      <c r="E108" s="53"/>
      <c r="G108"/>
      <c r="H108"/>
      <c r="I108"/>
    </row>
    <row r="109" spans="1:9" s="1" customFormat="1" x14ac:dyDescent="0.25">
      <c r="A109" s="10" t="s">
        <v>220</v>
      </c>
      <c r="B109" s="10">
        <v>33201</v>
      </c>
      <c r="C109" s="8" t="s">
        <v>221</v>
      </c>
      <c r="D109" s="53">
        <f>629242.08+400</f>
        <v>629642.07999999996</v>
      </c>
      <c r="E109" s="53"/>
      <c r="G109"/>
      <c r="H109"/>
      <c r="I109"/>
    </row>
    <row r="110" spans="1:9" s="1" customFormat="1" x14ac:dyDescent="0.25">
      <c r="A110" s="10" t="s">
        <v>222</v>
      </c>
      <c r="B110" s="10">
        <v>33301</v>
      </c>
      <c r="C110" s="8" t="s">
        <v>223</v>
      </c>
      <c r="D110" s="53"/>
      <c r="E110" s="53"/>
      <c r="G110"/>
      <c r="H110"/>
      <c r="I110"/>
    </row>
    <row r="111" spans="1:9" s="1" customFormat="1" x14ac:dyDescent="0.25">
      <c r="A111" s="10" t="s">
        <v>224</v>
      </c>
      <c r="B111" s="10">
        <v>33401</v>
      </c>
      <c r="C111" s="8" t="s">
        <v>225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227</v>
      </c>
      <c r="D112" s="53"/>
      <c r="E112" s="53"/>
      <c r="G112"/>
      <c r="H112"/>
      <c r="I112"/>
    </row>
    <row r="113" spans="1:9" s="1" customFormat="1" x14ac:dyDescent="0.25">
      <c r="A113" s="10" t="s">
        <v>228</v>
      </c>
      <c r="B113" s="10">
        <v>34101</v>
      </c>
      <c r="C113" s="8" t="s">
        <v>229</v>
      </c>
      <c r="D113" s="53"/>
      <c r="E113" s="53"/>
      <c r="G113"/>
      <c r="H113"/>
      <c r="I113"/>
    </row>
    <row r="114" spans="1:9" s="1" customFormat="1" x14ac:dyDescent="0.25">
      <c r="A114" s="10" t="s">
        <v>230</v>
      </c>
      <c r="B114" s="10">
        <v>35101</v>
      </c>
      <c r="C114" s="8" t="s">
        <v>231</v>
      </c>
      <c r="D114" s="53"/>
      <c r="E114" s="53"/>
      <c r="G114"/>
      <c r="H114"/>
      <c r="I114"/>
    </row>
    <row r="115" spans="1:9" s="1" customFormat="1" x14ac:dyDescent="0.25">
      <c r="A115" s="10" t="s">
        <v>232</v>
      </c>
      <c r="B115" s="10">
        <v>35201</v>
      </c>
      <c r="C115" s="8" t="s">
        <v>233</v>
      </c>
      <c r="D115" s="53"/>
      <c r="E115" s="53"/>
      <c r="G115"/>
      <c r="H115"/>
      <c r="I115"/>
    </row>
    <row r="116" spans="1:9" x14ac:dyDescent="0.25">
      <c r="A116" s="10" t="s">
        <v>234</v>
      </c>
      <c r="B116" s="10">
        <v>35301</v>
      </c>
      <c r="C116" s="8" t="s">
        <v>235</v>
      </c>
      <c r="D116" s="53">
        <v>124675.26</v>
      </c>
      <c r="E116" s="53"/>
    </row>
    <row r="117" spans="1:9" x14ac:dyDescent="0.25">
      <c r="A117" s="10" t="s">
        <v>236</v>
      </c>
      <c r="B117" s="10">
        <v>35401</v>
      </c>
      <c r="C117" s="8" t="s">
        <v>237</v>
      </c>
      <c r="D117" s="53">
        <f>9897.84+17.7</f>
        <v>9915.5400000000009</v>
      </c>
      <c r="E117" s="53"/>
    </row>
    <row r="118" spans="1:9" x14ac:dyDescent="0.25">
      <c r="A118" s="10" t="s">
        <v>238</v>
      </c>
      <c r="B118" s="10">
        <v>35501</v>
      </c>
      <c r="C118" s="8" t="s">
        <v>239</v>
      </c>
      <c r="D118" s="53">
        <f>7257+135.35</f>
        <v>7392.35</v>
      </c>
      <c r="E118" s="53"/>
    </row>
    <row r="119" spans="1:9" x14ac:dyDescent="0.25">
      <c r="A119" s="10" t="s">
        <v>240</v>
      </c>
      <c r="B119" s="10">
        <v>36101</v>
      </c>
      <c r="C119" s="8" t="s">
        <v>241</v>
      </c>
      <c r="D119" s="53">
        <v>64546</v>
      </c>
      <c r="E119" s="53"/>
    </row>
    <row r="120" spans="1:9" x14ac:dyDescent="0.25">
      <c r="A120" s="10"/>
      <c r="B120" s="10">
        <v>36102</v>
      </c>
      <c r="C120" s="8" t="s">
        <v>242</v>
      </c>
      <c r="D120" s="53"/>
      <c r="E120" s="53"/>
    </row>
    <row r="121" spans="1:9" x14ac:dyDescent="0.25">
      <c r="A121" s="10" t="s">
        <v>243</v>
      </c>
      <c r="B121" s="10">
        <v>36104</v>
      </c>
      <c r="C121" s="8" t="s">
        <v>244</v>
      </c>
      <c r="D121" s="53"/>
      <c r="E121" s="53"/>
    </row>
    <row r="122" spans="1:9" x14ac:dyDescent="0.25">
      <c r="A122" s="10" t="s">
        <v>245</v>
      </c>
      <c r="B122" s="10">
        <v>36201</v>
      </c>
      <c r="C122" s="8" t="s">
        <v>246</v>
      </c>
      <c r="D122" s="53"/>
      <c r="E122" s="53"/>
    </row>
    <row r="123" spans="1:9" x14ac:dyDescent="0.25">
      <c r="A123" s="10" t="s">
        <v>247</v>
      </c>
      <c r="B123" s="10">
        <v>36202</v>
      </c>
      <c r="C123" s="8" t="s">
        <v>248</v>
      </c>
      <c r="D123" s="53"/>
      <c r="E123" s="53"/>
    </row>
    <row r="124" spans="1:9" x14ac:dyDescent="0.25">
      <c r="A124" s="10" t="s">
        <v>249</v>
      </c>
      <c r="B124" s="10">
        <v>36203</v>
      </c>
      <c r="C124" s="8" t="s">
        <v>250</v>
      </c>
      <c r="D124" s="53"/>
      <c r="E124" s="53"/>
    </row>
    <row r="125" spans="1:9" x14ac:dyDescent="0.25">
      <c r="A125" s="10" t="s">
        <v>251</v>
      </c>
      <c r="B125" s="10">
        <v>36301</v>
      </c>
      <c r="C125" s="8" t="s">
        <v>252</v>
      </c>
      <c r="D125" s="53"/>
      <c r="E125" s="53"/>
    </row>
    <row r="126" spans="1:9" x14ac:dyDescent="0.25">
      <c r="A126" s="10"/>
      <c r="B126" s="10">
        <v>36302</v>
      </c>
      <c r="C126" s="8" t="s">
        <v>248</v>
      </c>
      <c r="D126" s="53"/>
      <c r="E126" s="53"/>
    </row>
    <row r="127" spans="1:9" x14ac:dyDescent="0.25">
      <c r="A127" s="10" t="s">
        <v>253</v>
      </c>
      <c r="B127" s="10">
        <v>36303</v>
      </c>
      <c r="C127" s="8" t="s">
        <v>254</v>
      </c>
      <c r="D127" s="53"/>
      <c r="E127" s="53"/>
    </row>
    <row r="128" spans="1:9" x14ac:dyDescent="0.25">
      <c r="A128" s="10" t="s">
        <v>255</v>
      </c>
      <c r="B128" s="10">
        <v>36304</v>
      </c>
      <c r="C128" s="8" t="s">
        <v>256</v>
      </c>
      <c r="D128" s="53">
        <f>309746.46+1434.37</f>
        <v>311180.83</v>
      </c>
      <c r="E128" s="53"/>
    </row>
    <row r="129" spans="1:9" s="1" customFormat="1" x14ac:dyDescent="0.25">
      <c r="A129" s="10" t="s">
        <v>255</v>
      </c>
      <c r="B129" s="10">
        <v>36306</v>
      </c>
      <c r="C129" s="8" t="s">
        <v>257</v>
      </c>
      <c r="D129" s="53">
        <v>67752.06</v>
      </c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258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 t="s">
        <v>364</v>
      </c>
      <c r="D131" s="53">
        <v>1687.4</v>
      </c>
      <c r="E131" s="53"/>
      <c r="G131"/>
      <c r="H131"/>
      <c r="I131"/>
    </row>
    <row r="132" spans="1:9" s="1" customFormat="1" x14ac:dyDescent="0.25">
      <c r="A132" s="10" t="s">
        <v>243</v>
      </c>
      <c r="B132" s="51">
        <v>36403</v>
      </c>
      <c r="C132" s="52" t="s">
        <v>259</v>
      </c>
      <c r="D132" s="53"/>
      <c r="E132" s="53"/>
      <c r="G132"/>
      <c r="H132"/>
      <c r="I132"/>
    </row>
    <row r="133" spans="1:9" s="1" customFormat="1" x14ac:dyDescent="0.25">
      <c r="A133" s="10" t="s">
        <v>260</v>
      </c>
      <c r="B133" s="51">
        <v>37101</v>
      </c>
      <c r="C133" s="52" t="s">
        <v>261</v>
      </c>
      <c r="D133" s="53"/>
      <c r="E133" s="53"/>
      <c r="G133"/>
      <c r="H133"/>
      <c r="I133"/>
    </row>
    <row r="134" spans="1:9" s="1" customFormat="1" x14ac:dyDescent="0.25">
      <c r="A134" s="10" t="s">
        <v>262</v>
      </c>
      <c r="B134" s="51">
        <v>37102</v>
      </c>
      <c r="C134" s="52" t="s">
        <v>263</v>
      </c>
      <c r="D134" s="53"/>
      <c r="E134" s="53"/>
      <c r="G134"/>
      <c r="H134"/>
      <c r="I134"/>
    </row>
    <row r="135" spans="1:9" s="1" customFormat="1" x14ac:dyDescent="0.25">
      <c r="A135" s="10" t="s">
        <v>264</v>
      </c>
      <c r="B135" s="51">
        <v>37104</v>
      </c>
      <c r="C135" s="52" t="s">
        <v>265</v>
      </c>
      <c r="D135" s="53">
        <v>1500</v>
      </c>
      <c r="E135" s="53"/>
      <c r="G135"/>
      <c r="H135"/>
      <c r="I135"/>
    </row>
    <row r="136" spans="1:9" s="1" customFormat="1" x14ac:dyDescent="0.25">
      <c r="A136" s="10" t="s">
        <v>266</v>
      </c>
      <c r="B136" s="51">
        <v>37105</v>
      </c>
      <c r="C136" s="52" t="s">
        <v>267</v>
      </c>
      <c r="D136" s="53"/>
      <c r="E136" s="53"/>
      <c r="G136"/>
      <c r="H136"/>
      <c r="I136"/>
    </row>
    <row r="137" spans="1:9" s="1" customFormat="1" x14ac:dyDescent="0.25">
      <c r="A137" s="10" t="s">
        <v>268</v>
      </c>
      <c r="B137" s="51">
        <v>37106</v>
      </c>
      <c r="C137" s="52" t="s">
        <v>269</v>
      </c>
      <c r="D137" s="53">
        <v>57598.79</v>
      </c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270</v>
      </c>
      <c r="D138" s="53"/>
      <c r="E138" s="53"/>
      <c r="G138"/>
      <c r="H138"/>
      <c r="I138"/>
    </row>
    <row r="139" spans="1:9" s="1" customFormat="1" x14ac:dyDescent="0.25">
      <c r="A139" s="10" t="s">
        <v>271</v>
      </c>
      <c r="B139" s="10">
        <v>37203</v>
      </c>
      <c r="C139" s="8" t="s">
        <v>272</v>
      </c>
      <c r="D139" s="53">
        <f>6914.8+284</f>
        <v>7198.8</v>
      </c>
      <c r="E139" s="53"/>
      <c r="G139"/>
      <c r="H139"/>
      <c r="I139"/>
    </row>
    <row r="140" spans="1:9" s="1" customFormat="1" x14ac:dyDescent="0.25">
      <c r="A140" s="10" t="s">
        <v>273</v>
      </c>
      <c r="B140" s="10">
        <v>37205</v>
      </c>
      <c r="C140" s="8" t="s">
        <v>274</v>
      </c>
      <c r="D140" s="53"/>
      <c r="E140" s="53"/>
      <c r="G140"/>
      <c r="H140"/>
      <c r="I140"/>
    </row>
    <row r="141" spans="1:9" s="1" customFormat="1" x14ac:dyDescent="0.25">
      <c r="A141" s="10" t="s">
        <v>275</v>
      </c>
      <c r="B141" s="10">
        <v>37206</v>
      </c>
      <c r="C141" s="8" t="s">
        <v>276</v>
      </c>
      <c r="D141" s="53">
        <v>412970.5</v>
      </c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277</v>
      </c>
      <c r="D142" s="53">
        <v>21257.7</v>
      </c>
      <c r="E142" s="53"/>
      <c r="G142"/>
      <c r="H142"/>
      <c r="I142"/>
    </row>
    <row r="143" spans="1:9" s="1" customFormat="1" x14ac:dyDescent="0.25">
      <c r="A143" s="10" t="s">
        <v>278</v>
      </c>
      <c r="B143" s="51">
        <v>39101</v>
      </c>
      <c r="C143" s="52" t="s">
        <v>279</v>
      </c>
      <c r="D143" s="53">
        <f>166341.06+297</f>
        <v>166638.06</v>
      </c>
      <c r="E143" s="53"/>
      <c r="G143"/>
      <c r="H143"/>
      <c r="I143"/>
    </row>
    <row r="144" spans="1:9" s="1" customFormat="1" ht="30" x14ac:dyDescent="0.25">
      <c r="A144" s="10" t="s">
        <v>280</v>
      </c>
      <c r="B144" s="51">
        <v>39201</v>
      </c>
      <c r="C144" s="52" t="s">
        <v>281</v>
      </c>
      <c r="D144" s="53">
        <f>6811998.4+23290</f>
        <v>6835288.4000000004</v>
      </c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282</v>
      </c>
      <c r="D145" s="53"/>
      <c r="E145" s="53"/>
      <c r="G145"/>
      <c r="H145"/>
      <c r="I145"/>
    </row>
    <row r="146" spans="1:9" s="1" customFormat="1" x14ac:dyDescent="0.25">
      <c r="A146" s="10" t="s">
        <v>283</v>
      </c>
      <c r="B146" s="51">
        <v>39501</v>
      </c>
      <c r="C146" s="52" t="s">
        <v>284</v>
      </c>
      <c r="D146" s="53">
        <f>112920.1+1085.01</f>
        <v>114005.11</v>
      </c>
      <c r="E146" s="53"/>
      <c r="G146"/>
      <c r="H146"/>
      <c r="I146"/>
    </row>
    <row r="147" spans="1:9" s="1" customFormat="1" x14ac:dyDescent="0.25">
      <c r="A147" s="10" t="s">
        <v>285</v>
      </c>
      <c r="B147" s="10">
        <v>39601</v>
      </c>
      <c r="C147" s="8" t="s">
        <v>286</v>
      </c>
      <c r="D147" s="53">
        <f>1293880.62+6395.9</f>
        <v>1300276.52</v>
      </c>
      <c r="E147" s="53"/>
      <c r="G147"/>
      <c r="H147"/>
      <c r="I147"/>
    </row>
    <row r="148" spans="1:9" s="1" customFormat="1" x14ac:dyDescent="0.25">
      <c r="A148" s="10" t="s">
        <v>287</v>
      </c>
      <c r="B148" s="10">
        <v>39801</v>
      </c>
      <c r="C148" s="8" t="s">
        <v>288</v>
      </c>
      <c r="D148" s="53">
        <v>212618.3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353</v>
      </c>
      <c r="D149" s="53">
        <v>4720</v>
      </c>
      <c r="E149" s="53"/>
      <c r="G149"/>
      <c r="H149"/>
      <c r="I149"/>
    </row>
    <row r="150" spans="1:9" s="1" customFormat="1" x14ac:dyDescent="0.25">
      <c r="A150" s="10" t="s">
        <v>289</v>
      </c>
      <c r="B150" s="10">
        <v>39901</v>
      </c>
      <c r="C150" s="8" t="s">
        <v>290</v>
      </c>
      <c r="D150" s="53">
        <f>122292.8+3072.01</f>
        <v>125364.81</v>
      </c>
      <c r="E150" s="53"/>
      <c r="G150"/>
      <c r="H150"/>
      <c r="I150"/>
    </row>
    <row r="151" spans="1:9" s="1" customFormat="1" x14ac:dyDescent="0.25">
      <c r="A151" s="10" t="s">
        <v>289</v>
      </c>
      <c r="B151" s="10">
        <v>39902</v>
      </c>
      <c r="C151" s="8" t="s">
        <v>291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292</v>
      </c>
      <c r="D152" s="53">
        <v>164671.35999999999</v>
      </c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293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294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295</v>
      </c>
      <c r="B155" s="10">
        <v>41103</v>
      </c>
      <c r="C155" s="8" t="s">
        <v>296</v>
      </c>
      <c r="D155" s="53"/>
      <c r="E155" s="53"/>
      <c r="G155"/>
      <c r="H155"/>
      <c r="I155"/>
    </row>
    <row r="156" spans="1:9" s="1" customFormat="1" ht="30" x14ac:dyDescent="0.25">
      <c r="A156" s="10" t="s">
        <v>297</v>
      </c>
      <c r="B156" s="10">
        <v>41201</v>
      </c>
      <c r="C156" s="8" t="s">
        <v>298</v>
      </c>
      <c r="D156" s="53"/>
      <c r="E156" s="53"/>
      <c r="G156"/>
      <c r="H156"/>
      <c r="I156"/>
    </row>
    <row r="157" spans="1:9" s="1" customFormat="1" ht="30" x14ac:dyDescent="0.25">
      <c r="A157" s="10" t="s">
        <v>299</v>
      </c>
      <c r="B157" s="10">
        <v>41202</v>
      </c>
      <c r="C157" s="8" t="s">
        <v>300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301</v>
      </c>
      <c r="D158" s="9"/>
      <c r="E158" s="9"/>
      <c r="G158"/>
      <c r="H158"/>
      <c r="I158"/>
    </row>
    <row r="159" spans="1:9" s="1" customFormat="1" x14ac:dyDescent="0.25">
      <c r="A159" s="10" t="s">
        <v>302</v>
      </c>
      <c r="B159" s="10">
        <v>41402</v>
      </c>
      <c r="C159" s="8" t="s">
        <v>303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304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305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306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307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308</v>
      </c>
      <c r="D164" s="9"/>
      <c r="E164" s="9"/>
      <c r="G164"/>
      <c r="H164"/>
      <c r="I164"/>
    </row>
    <row r="165" spans="1:9" s="1" customFormat="1" x14ac:dyDescent="0.25">
      <c r="A165" s="10" t="s">
        <v>309</v>
      </c>
      <c r="B165" s="10">
        <v>44102</v>
      </c>
      <c r="C165" s="8" t="s">
        <v>310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311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358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77</v>
      </c>
      <c r="D168" s="15"/>
      <c r="E168" s="62">
        <f>+E9-E16</f>
        <v>900449639.87000012</v>
      </c>
      <c r="G168"/>
      <c r="H168"/>
      <c r="I168"/>
    </row>
    <row r="169" spans="1:9" s="1" customFormat="1" x14ac:dyDescent="0.25">
      <c r="A169" s="10"/>
      <c r="B169" s="10" t="s">
        <v>314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77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315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316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42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315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317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318</v>
      </c>
      <c r="C176" s="98"/>
      <c r="D176" s="66">
        <f>+E9-E16</f>
        <v>900449639.87000012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319</v>
      </c>
      <c r="B184" s="11">
        <v>6</v>
      </c>
      <c r="C184" s="5" t="s">
        <v>320</v>
      </c>
      <c r="D184" s="12">
        <f>SUM(D185:D206)</f>
        <v>10554358.959999999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321</v>
      </c>
      <c r="D185" s="53">
        <v>256520.2</v>
      </c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322</v>
      </c>
      <c r="D186" s="53">
        <v>8142395.2999999998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323</v>
      </c>
      <c r="D187" s="53">
        <v>1453093.3</v>
      </c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324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325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326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327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328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329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330</v>
      </c>
      <c r="D194" s="53">
        <v>20576.84</v>
      </c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331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332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333</v>
      </c>
      <c r="D197" s="53">
        <v>335455.12</v>
      </c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334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335</v>
      </c>
      <c r="D199" s="53">
        <v>102070</v>
      </c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336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337</v>
      </c>
      <c r="D201" s="53">
        <v>106188.2</v>
      </c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338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339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340</v>
      </c>
      <c r="D204" s="53">
        <v>138060</v>
      </c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341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342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359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343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344</v>
      </c>
      <c r="B209" s="10">
        <v>71201</v>
      </c>
      <c r="C209" s="8" t="s">
        <v>345</v>
      </c>
      <c r="D209" s="24"/>
      <c r="E209" s="25"/>
      <c r="G209"/>
      <c r="H209"/>
      <c r="I209"/>
    </row>
    <row r="210" spans="1:9" s="1" customFormat="1" x14ac:dyDescent="0.25">
      <c r="A210" s="27" t="s">
        <v>346</v>
      </c>
      <c r="B210" s="10">
        <v>71501</v>
      </c>
      <c r="C210" s="8" t="s">
        <v>347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10554358.959999999</v>
      </c>
      <c r="E211" s="19"/>
      <c r="G211"/>
      <c r="H211"/>
      <c r="I211"/>
    </row>
    <row r="212" spans="1:9" s="1" customFormat="1" x14ac:dyDescent="0.25">
      <c r="A212"/>
      <c r="B212"/>
      <c r="C212" s="2" t="s">
        <v>348</v>
      </c>
      <c r="E212" s="21"/>
      <c r="G212"/>
      <c r="H212"/>
      <c r="I212"/>
    </row>
    <row r="213" spans="1:9" s="1" customFormat="1" x14ac:dyDescent="0.25">
      <c r="A213"/>
      <c r="B213"/>
      <c r="C213" s="2" t="s">
        <v>349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9</vt:i4>
      </vt:variant>
    </vt:vector>
  </HeadingPairs>
  <TitlesOfParts>
    <vt:vector size="36" baseType="lpstr">
      <vt:lpstr>Balance General ENERO 22</vt:lpstr>
      <vt:lpstr>Estado de Resultado ENERO 2022</vt:lpstr>
      <vt:lpstr>Balance General febrero 22 </vt:lpstr>
      <vt:lpstr>Estado de Resultado FEBRERO </vt:lpstr>
      <vt:lpstr>Balance General marzo 22</vt:lpstr>
      <vt:lpstr>Estado de Resultado MARZO2022</vt:lpstr>
      <vt:lpstr>Estado de Resultado ABRIL</vt:lpstr>
      <vt:lpstr>Estado de Resultado ABRIL 22</vt:lpstr>
      <vt:lpstr>Estado de Resultado Mayo22</vt:lpstr>
      <vt:lpstr>Balance General Mayo 22 </vt:lpstr>
      <vt:lpstr>Balance General JUNIO 22</vt:lpstr>
      <vt:lpstr>Estado de Resultado junio 22</vt:lpstr>
      <vt:lpstr>ESTADO DE RESULTADOS JULIO 22</vt:lpstr>
      <vt:lpstr>BALANCE GENERAL JULIO 2022</vt:lpstr>
      <vt:lpstr>ESTADO DE RESULTADO AGOSTO 2022</vt:lpstr>
      <vt:lpstr>BALANCE GENERAL AGOSTO 2022</vt:lpstr>
      <vt:lpstr>ESTADO DE RESULTADOS SEPT 2022</vt:lpstr>
      <vt:lpstr>BALANCE GENERAL SEPT.2022</vt:lpstr>
      <vt:lpstr>ESTADO DE RESULTADOS OCTU 2022</vt:lpstr>
      <vt:lpstr>BALANCE GENERAL OCTUBRE 2022</vt:lpstr>
      <vt:lpstr>BALANCE GENERAL NOVIEMBRE 2022</vt:lpstr>
      <vt:lpstr>ESTADO DE RESULTADOS NOV 2022</vt:lpstr>
      <vt:lpstr>BALANCE GENERAL DICIEMBRE 2022</vt:lpstr>
      <vt:lpstr>ESTADO DE RESULTADOS DIC 2022</vt:lpstr>
      <vt:lpstr>Bsalance General Marzo</vt:lpstr>
      <vt:lpstr>estado de resultado  marzo</vt:lpstr>
      <vt:lpstr>Hoja1</vt:lpstr>
      <vt:lpstr>'BALANCE GENERAL DICIEMBRE 2022'!Área_de_impresión</vt:lpstr>
      <vt:lpstr>'estado de resultado  marzo'!Área_de_impresión</vt:lpstr>
      <vt:lpstr>'Estado de Resultado ABRIL'!Área_de_impresión</vt:lpstr>
      <vt:lpstr>'Estado de Resultado ABRIL 22'!Área_de_impresión</vt:lpstr>
      <vt:lpstr>'Estado de Resultado ENERO 2022'!Área_de_impresión</vt:lpstr>
      <vt:lpstr>'Estado de Resultado FEBRERO '!Área_de_impresión</vt:lpstr>
      <vt:lpstr>'Estado de Resultado junio 22'!Área_de_impresión</vt:lpstr>
      <vt:lpstr>'Estado de Resultado MARZO2022'!Área_de_impresión</vt:lpstr>
      <vt:lpstr>'Estado de Resultado Mayo22'!Área_de_impresión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Pimentel Elisa</dc:creator>
  <cp:keywords/>
  <dc:description/>
  <cp:lastModifiedBy>Amos ap. Perez</cp:lastModifiedBy>
  <cp:revision/>
  <dcterms:created xsi:type="dcterms:W3CDTF">2018-04-03T17:21:59Z</dcterms:created>
  <dcterms:modified xsi:type="dcterms:W3CDTF">2024-09-04T18:34:28Z</dcterms:modified>
  <cp:category/>
  <cp:contentStatus/>
</cp:coreProperties>
</file>