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" activeTab="1"/>
  </bookViews>
  <sheets>
    <sheet name="Estado de Resultado Agosto 21" sheetId="12" r:id="rId1"/>
    <sheet name="Balance General Agosto 21" sheetId="11" r:id="rId2"/>
    <sheet name="Bsalance General Marzo" sheetId="10" state="hidden" r:id="rId3"/>
    <sheet name="estado de resultado  marzo" sheetId="8" state="hidden" r:id="rId4"/>
    <sheet name="Hoja1" sheetId="7" state="hidden" r:id="rId5"/>
  </sheets>
  <externalReferences>
    <externalReference r:id="rId6"/>
    <externalReference r:id="rId7"/>
  </externalReferences>
  <definedNames>
    <definedName name="_xlnm.Print_Area" localSheetId="3">'estado de resultado  marzo'!$A$1:$E$204</definedName>
    <definedName name="_xlnm.Print_Area" localSheetId="0">'Estado de Resultado Agosto 21'!$A$1:$E$209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2" l="1"/>
  <c r="D139" i="12"/>
  <c r="D51" i="12"/>
  <c r="D178" i="12" l="1"/>
  <c r="D41" i="12" l="1"/>
  <c r="D201" i="12" l="1"/>
  <c r="D148" i="12"/>
  <c r="D95" i="12"/>
  <c r="D17" i="12"/>
  <c r="E15" i="12"/>
  <c r="E9" i="12" s="1"/>
  <c r="D9" i="12"/>
  <c r="U40" i="11"/>
  <c r="S40" i="11"/>
  <c r="Q40" i="11"/>
  <c r="P40" i="11"/>
  <c r="O40" i="11"/>
  <c r="M40" i="11"/>
  <c r="L40" i="11"/>
  <c r="K40" i="11"/>
  <c r="J40" i="11"/>
  <c r="I40" i="11"/>
  <c r="G40" i="11"/>
  <c r="F40" i="11"/>
  <c r="D40" i="11"/>
  <c r="Y39" i="11"/>
  <c r="H39" i="11"/>
  <c r="C39" i="11"/>
  <c r="B39" i="11"/>
  <c r="B40" i="11" s="1"/>
  <c r="Z38" i="11"/>
  <c r="Y38" i="11"/>
  <c r="H38" i="11"/>
  <c r="V37" i="11"/>
  <c r="W37" i="11" s="1"/>
  <c r="T37" i="11"/>
  <c r="T40" i="11" s="1"/>
  <c r="R37" i="11"/>
  <c r="R40" i="11" s="1"/>
  <c r="Q37" i="11"/>
  <c r="E37" i="11"/>
  <c r="C37" i="11"/>
  <c r="E36" i="11"/>
  <c r="E40" i="11" s="1"/>
  <c r="C36" i="11"/>
  <c r="C40" i="11" s="1"/>
  <c r="Z30" i="11"/>
  <c r="Z33" i="11" s="1"/>
  <c r="X30" i="11"/>
  <c r="X33" i="11" s="1"/>
  <c r="W30" i="11"/>
  <c r="W33" i="11" s="1"/>
  <c r="V30" i="11"/>
  <c r="V33" i="11" s="1"/>
  <c r="T30" i="11"/>
  <c r="T33" i="11" s="1"/>
  <c r="T41" i="11" s="1"/>
  <c r="S30" i="11"/>
  <c r="S33" i="11" s="1"/>
  <c r="S41" i="11" s="1"/>
  <c r="S43" i="11" s="1"/>
  <c r="R30" i="11"/>
  <c r="R33" i="11" s="1"/>
  <c r="P30" i="11"/>
  <c r="P33" i="11" s="1"/>
  <c r="P41" i="11" s="1"/>
  <c r="M30" i="11"/>
  <c r="M33" i="11" s="1"/>
  <c r="M41" i="11" s="1"/>
  <c r="K30" i="11"/>
  <c r="K33" i="11" s="1"/>
  <c r="K41" i="11" s="1"/>
  <c r="J30" i="11"/>
  <c r="J33" i="11" s="1"/>
  <c r="J41" i="11" s="1"/>
  <c r="H30" i="11"/>
  <c r="H33" i="11" s="1"/>
  <c r="F30" i="11"/>
  <c r="F33" i="11" s="1"/>
  <c r="F41" i="11" s="1"/>
  <c r="E30" i="11"/>
  <c r="E33" i="11" s="1"/>
  <c r="E41" i="11" s="1"/>
  <c r="D30" i="11"/>
  <c r="D33" i="11" s="1"/>
  <c r="D41" i="11" s="1"/>
  <c r="C30" i="11"/>
  <c r="C33" i="11" s="1"/>
  <c r="C41" i="11" s="1"/>
  <c r="B30" i="11"/>
  <c r="B33" i="11" s="1"/>
  <c r="G29" i="11"/>
  <c r="G30" i="11" s="1"/>
  <c r="G33" i="11" s="1"/>
  <c r="G41" i="11" s="1"/>
  <c r="B29" i="11"/>
  <c r="Y27" i="11"/>
  <c r="Y30" i="11" s="1"/>
  <c r="Y33" i="11" s="1"/>
  <c r="U27" i="11"/>
  <c r="U30" i="11" s="1"/>
  <c r="U33" i="11" s="1"/>
  <c r="U41" i="11" s="1"/>
  <c r="Q27" i="11"/>
  <c r="Q30" i="11" s="1"/>
  <c r="Q33" i="11" s="1"/>
  <c r="Q41" i="11" s="1"/>
  <c r="Q43" i="11" s="1"/>
  <c r="P27" i="11"/>
  <c r="O27" i="11"/>
  <c r="O30" i="11" s="1"/>
  <c r="O33" i="11" s="1"/>
  <c r="O41" i="11" s="1"/>
  <c r="L27" i="11"/>
  <c r="L30" i="11" s="1"/>
  <c r="L33" i="11" s="1"/>
  <c r="L41" i="11" s="1"/>
  <c r="I27" i="11"/>
  <c r="I30" i="11" s="1"/>
  <c r="I33" i="11" s="1"/>
  <c r="I41" i="11" s="1"/>
  <c r="Z22" i="11"/>
  <c r="Y22" i="11"/>
  <c r="X22" i="11"/>
  <c r="W22" i="11"/>
  <c r="T22" i="11"/>
  <c r="S22" i="11"/>
  <c r="S23" i="11" s="1"/>
  <c r="O22" i="11"/>
  <c r="O23" i="11" s="1"/>
  <c r="O43" i="11" s="1"/>
  <c r="L22" i="11"/>
  <c r="K22" i="11"/>
  <c r="J22" i="11"/>
  <c r="J23" i="11" s="1"/>
  <c r="D22" i="11"/>
  <c r="C22" i="11"/>
  <c r="B22" i="11"/>
  <c r="K20" i="11"/>
  <c r="I20" i="11"/>
  <c r="G20" i="11"/>
  <c r="F20" i="11"/>
  <c r="E20" i="11"/>
  <c r="V19" i="11"/>
  <c r="V22" i="11" s="1"/>
  <c r="U19" i="11"/>
  <c r="S19" i="11"/>
  <c r="R19" i="11"/>
  <c r="Q19" i="11"/>
  <c r="P19" i="11"/>
  <c r="M19" i="11"/>
  <c r="K19" i="11"/>
  <c r="I19" i="11"/>
  <c r="H19" i="11"/>
  <c r="H22" i="11" s="1"/>
  <c r="G19" i="11"/>
  <c r="E19" i="11"/>
  <c r="D19" i="11"/>
  <c r="C19" i="11"/>
  <c r="B19" i="11"/>
  <c r="U18" i="11"/>
  <c r="U22" i="11" s="1"/>
  <c r="R18" i="11"/>
  <c r="R22" i="11" s="1"/>
  <c r="Q18" i="11"/>
  <c r="Q22" i="11" s="1"/>
  <c r="P18" i="11"/>
  <c r="P22" i="11" s="1"/>
  <c r="M18" i="11"/>
  <c r="M22" i="11" s="1"/>
  <c r="K18" i="11"/>
  <c r="I18" i="11"/>
  <c r="I22" i="11" s="1"/>
  <c r="H18" i="11"/>
  <c r="G18" i="11"/>
  <c r="G22" i="11" s="1"/>
  <c r="F18" i="11"/>
  <c r="F22" i="11" s="1"/>
  <c r="F23" i="11" s="1"/>
  <c r="F42" i="11" s="1"/>
  <c r="E18" i="11"/>
  <c r="E22" i="11" s="1"/>
  <c r="B18" i="11"/>
  <c r="U15" i="11"/>
  <c r="T15" i="11"/>
  <c r="T23" i="11" s="1"/>
  <c r="S15" i="11"/>
  <c r="R15" i="11"/>
  <c r="Q15" i="11"/>
  <c r="Q23" i="11" s="1"/>
  <c r="P15" i="11"/>
  <c r="P23" i="11" s="1"/>
  <c r="O15" i="11"/>
  <c r="M15" i="11"/>
  <c r="L15" i="11"/>
  <c r="L23" i="11" s="1"/>
  <c r="L42" i="11" s="1"/>
  <c r="K15" i="11"/>
  <c r="K23" i="11" s="1"/>
  <c r="K43" i="11" s="1"/>
  <c r="J15" i="11"/>
  <c r="I15" i="11"/>
  <c r="H15" i="11"/>
  <c r="G15" i="11"/>
  <c r="G23" i="11" s="1"/>
  <c r="F15" i="11"/>
  <c r="D15" i="11"/>
  <c r="D23" i="11" s="1"/>
  <c r="D42" i="11" s="1"/>
  <c r="C15" i="11"/>
  <c r="C23" i="11" s="1"/>
  <c r="C42" i="11" s="1"/>
  <c r="X14" i="11"/>
  <c r="Y14" i="11" s="1"/>
  <c r="Z14" i="11" s="1"/>
  <c r="Z15" i="11" s="1"/>
  <c r="W14" i="11"/>
  <c r="V14" i="11"/>
  <c r="V15" i="11" s="1"/>
  <c r="Y11" i="11"/>
  <c r="Y15" i="11" s="1"/>
  <c r="Y23" i="11" s="1"/>
  <c r="X11" i="11"/>
  <c r="X15" i="11" s="1"/>
  <c r="X23" i="11" s="1"/>
  <c r="W11" i="11"/>
  <c r="W15" i="11" s="1"/>
  <c r="W23" i="11" s="1"/>
  <c r="V11" i="11"/>
  <c r="M11" i="11"/>
  <c r="L11" i="11"/>
  <c r="I11" i="11"/>
  <c r="E11" i="11"/>
  <c r="E15" i="11" s="1"/>
  <c r="E23" i="11" s="1"/>
  <c r="B11" i="11"/>
  <c r="B15" i="11" s="1"/>
  <c r="B23" i="11" s="1"/>
  <c r="H40" i="11" l="1"/>
  <c r="H41" i="11" s="1"/>
  <c r="Z23" i="11"/>
  <c r="D16" i="12"/>
  <c r="E16" i="12" s="1"/>
  <c r="E162" i="12" s="1"/>
  <c r="D204" i="12"/>
  <c r="H23" i="11"/>
  <c r="T43" i="11"/>
  <c r="E42" i="11"/>
  <c r="V23" i="11"/>
  <c r="I23" i="11"/>
  <c r="I43" i="11" s="1"/>
  <c r="R23" i="11"/>
  <c r="J43" i="11"/>
  <c r="V41" i="11"/>
  <c r="V43" i="11" s="1"/>
  <c r="B41" i="11"/>
  <c r="B42" i="11" s="1"/>
  <c r="W40" i="11"/>
  <c r="W41" i="11" s="1"/>
  <c r="W43" i="11" s="1"/>
  <c r="X37" i="11"/>
  <c r="P43" i="11"/>
  <c r="G44" i="11"/>
  <c r="U23" i="11"/>
  <c r="U43" i="11" s="1"/>
  <c r="M23" i="11"/>
  <c r="R41" i="11"/>
  <c r="R43" i="11" s="1"/>
  <c r="V40" i="11"/>
  <c r="D170" i="12" l="1"/>
  <c r="E165" i="12"/>
  <c r="E168" i="12" s="1"/>
  <c r="E170" i="12" s="1"/>
  <c r="H43" i="11"/>
  <c r="X40" i="11"/>
  <c r="X41" i="11" s="1"/>
  <c r="X43" i="11" s="1"/>
  <c r="Y37" i="11"/>
  <c r="Z37" i="11" l="1"/>
  <c r="Z40" i="11" s="1"/>
  <c r="Z41" i="11" s="1"/>
  <c r="Y40" i="11"/>
  <c r="Y41" i="11" s="1"/>
  <c r="Y43" i="11" s="1"/>
  <c r="Z18" i="10" l="1"/>
  <c r="U40" i="10"/>
  <c r="T40" i="10"/>
  <c r="S40" i="10"/>
  <c r="P40" i="10"/>
  <c r="O40" i="10"/>
  <c r="M40" i="10"/>
  <c r="L40" i="10"/>
  <c r="K40" i="10"/>
  <c r="J40" i="10"/>
  <c r="I40" i="10"/>
  <c r="G40" i="10"/>
  <c r="F40" i="10"/>
  <c r="D40" i="10"/>
  <c r="B40" i="10"/>
  <c r="Y39" i="10"/>
  <c r="H39" i="10"/>
  <c r="C39" i="10"/>
  <c r="B39" i="10"/>
  <c r="Z38" i="10"/>
  <c r="Y38" i="10"/>
  <c r="H38" i="10"/>
  <c r="H40" i="10" s="1"/>
  <c r="V37" i="10"/>
  <c r="W37" i="10" s="1"/>
  <c r="T37" i="10"/>
  <c r="Q37" i="10"/>
  <c r="Q40" i="10" s="1"/>
  <c r="E37" i="10"/>
  <c r="C37" i="10"/>
  <c r="C40" i="10" s="1"/>
  <c r="E36" i="10"/>
  <c r="E40" i="10" s="1"/>
  <c r="C36" i="10"/>
  <c r="Z30" i="10"/>
  <c r="Z33" i="10" s="1"/>
  <c r="X30" i="10"/>
  <c r="X33" i="10" s="1"/>
  <c r="W30" i="10"/>
  <c r="W33" i="10" s="1"/>
  <c r="V30" i="10"/>
  <c r="V33" i="10" s="1"/>
  <c r="T30" i="10"/>
  <c r="T33" i="10" s="1"/>
  <c r="T41" i="10" s="1"/>
  <c r="S30" i="10"/>
  <c r="S33" i="10" s="1"/>
  <c r="S41" i="10" s="1"/>
  <c r="R30" i="10"/>
  <c r="R33" i="10" s="1"/>
  <c r="O30" i="10"/>
  <c r="O33" i="10" s="1"/>
  <c r="O41" i="10" s="1"/>
  <c r="M30" i="10"/>
  <c r="M33" i="10" s="1"/>
  <c r="M41" i="10" s="1"/>
  <c r="L30" i="10"/>
  <c r="L33" i="10" s="1"/>
  <c r="L41" i="10" s="1"/>
  <c r="K30" i="10"/>
  <c r="K33" i="10" s="1"/>
  <c r="K41" i="10" s="1"/>
  <c r="J30" i="10"/>
  <c r="J33" i="10" s="1"/>
  <c r="J41" i="10" s="1"/>
  <c r="H30" i="10"/>
  <c r="H33" i="10" s="1"/>
  <c r="G30" i="10"/>
  <c r="G33" i="10" s="1"/>
  <c r="G41" i="10" s="1"/>
  <c r="F30" i="10"/>
  <c r="F33" i="10" s="1"/>
  <c r="F41" i="10" s="1"/>
  <c r="E30" i="10"/>
  <c r="E33" i="10" s="1"/>
  <c r="E41" i="10" s="1"/>
  <c r="D30" i="10"/>
  <c r="D33" i="10" s="1"/>
  <c r="D41" i="10" s="1"/>
  <c r="C30" i="10"/>
  <c r="C33" i="10" s="1"/>
  <c r="G29" i="10"/>
  <c r="B29" i="10"/>
  <c r="B30" i="10" s="1"/>
  <c r="B33" i="10" s="1"/>
  <c r="B41" i="10" s="1"/>
  <c r="Y27" i="10"/>
  <c r="Y30" i="10" s="1"/>
  <c r="Y33" i="10" s="1"/>
  <c r="U27" i="10"/>
  <c r="U30" i="10" s="1"/>
  <c r="U33" i="10" s="1"/>
  <c r="U41" i="10" s="1"/>
  <c r="U43" i="10" s="1"/>
  <c r="Q27" i="10"/>
  <c r="Q30" i="10" s="1"/>
  <c r="Q33" i="10" s="1"/>
  <c r="P27" i="10"/>
  <c r="P30" i="10" s="1"/>
  <c r="P33" i="10" s="1"/>
  <c r="P41" i="10" s="1"/>
  <c r="O27" i="10"/>
  <c r="L27" i="10"/>
  <c r="I27" i="10"/>
  <c r="I30" i="10" s="1"/>
  <c r="I33" i="10" s="1"/>
  <c r="I41" i="10" s="1"/>
  <c r="Y22" i="10"/>
  <c r="X22" i="10"/>
  <c r="W22" i="10"/>
  <c r="V22" i="10"/>
  <c r="T22" i="10"/>
  <c r="O22" i="10"/>
  <c r="O23" i="10" s="1"/>
  <c r="O43" i="10" s="1"/>
  <c r="L22" i="10"/>
  <c r="J22" i="10"/>
  <c r="K20" i="10"/>
  <c r="I20" i="10"/>
  <c r="G20" i="10"/>
  <c r="G22" i="10" s="1"/>
  <c r="F20" i="10"/>
  <c r="F22" i="10" s="1"/>
  <c r="F23" i="10" s="1"/>
  <c r="F42" i="10" s="1"/>
  <c r="E20" i="10"/>
  <c r="E22" i="10" s="1"/>
  <c r="V19" i="10"/>
  <c r="U19" i="10"/>
  <c r="S19" i="10"/>
  <c r="S22" i="10" s="1"/>
  <c r="R19" i="10"/>
  <c r="Q19" i="10"/>
  <c r="P19" i="10"/>
  <c r="P22" i="10" s="1"/>
  <c r="M19" i="10"/>
  <c r="M22" i="10" s="1"/>
  <c r="K19" i="10"/>
  <c r="I19" i="10"/>
  <c r="H19" i="10"/>
  <c r="G19" i="10"/>
  <c r="E19" i="10"/>
  <c r="D19" i="10"/>
  <c r="D22" i="10" s="1"/>
  <c r="C19" i="10"/>
  <c r="C22" i="10" s="1"/>
  <c r="B19" i="10"/>
  <c r="Z22" i="10"/>
  <c r="U18" i="10"/>
  <c r="U22" i="10" s="1"/>
  <c r="R18" i="10"/>
  <c r="R22" i="10" s="1"/>
  <c r="Q18" i="10"/>
  <c r="Q22" i="10" s="1"/>
  <c r="P18" i="10"/>
  <c r="M18" i="10"/>
  <c r="K18" i="10"/>
  <c r="K22" i="10" s="1"/>
  <c r="I18" i="10"/>
  <c r="I22" i="10" s="1"/>
  <c r="H18" i="10"/>
  <c r="H22" i="10" s="1"/>
  <c r="G18" i="10"/>
  <c r="F18" i="10"/>
  <c r="E18" i="10"/>
  <c r="B18" i="10"/>
  <c r="B22" i="10" s="1"/>
  <c r="U15" i="10"/>
  <c r="U23" i="10" s="1"/>
  <c r="T15" i="10"/>
  <c r="T23" i="10" s="1"/>
  <c r="S15" i="10"/>
  <c r="R15" i="10"/>
  <c r="R23" i="10" s="1"/>
  <c r="Q15" i="10"/>
  <c r="Q23" i="10" s="1"/>
  <c r="P15" i="10"/>
  <c r="O15" i="10"/>
  <c r="K15" i="10"/>
  <c r="J15" i="10"/>
  <c r="J23" i="10" s="1"/>
  <c r="J43" i="10" s="1"/>
  <c r="H15" i="10"/>
  <c r="H23" i="10" s="1"/>
  <c r="G15" i="10"/>
  <c r="F15" i="10"/>
  <c r="D15" i="10"/>
  <c r="C15" i="10"/>
  <c r="X14" i="10"/>
  <c r="Y14" i="10" s="1"/>
  <c r="W14" i="10"/>
  <c r="W15" i="10" s="1"/>
  <c r="W23" i="10" s="1"/>
  <c r="V14" i="10"/>
  <c r="Y11" i="10"/>
  <c r="X11" i="10"/>
  <c r="W11" i="10"/>
  <c r="V11" i="10"/>
  <c r="V15" i="10" s="1"/>
  <c r="V23" i="10" s="1"/>
  <c r="M11" i="10"/>
  <c r="M15" i="10" s="1"/>
  <c r="M23" i="10" s="1"/>
  <c r="L11" i="10"/>
  <c r="L15" i="10" s="1"/>
  <c r="L23" i="10" s="1"/>
  <c r="L42" i="10" s="1"/>
  <c r="I11" i="10"/>
  <c r="I15" i="10" s="1"/>
  <c r="I23" i="10" s="1"/>
  <c r="E11" i="10"/>
  <c r="E15" i="10" s="1"/>
  <c r="B11" i="10"/>
  <c r="B15" i="10" s="1"/>
  <c r="H41" i="10" l="1"/>
  <c r="H43" i="10" s="1"/>
  <c r="G44" i="10"/>
  <c r="T43" i="10"/>
  <c r="I43" i="10"/>
  <c r="K23" i="10"/>
  <c r="K43" i="10" s="1"/>
  <c r="Y15" i="10"/>
  <c r="Y23" i="10" s="1"/>
  <c r="Z14" i="10"/>
  <c r="Z15" i="10" s="1"/>
  <c r="Z23" i="10" s="1"/>
  <c r="C23" i="10"/>
  <c r="P23" i="10"/>
  <c r="C41" i="10"/>
  <c r="X37" i="10"/>
  <c r="W40" i="10"/>
  <c r="W41" i="10" s="1"/>
  <c r="W43" i="10" s="1"/>
  <c r="D23" i="10"/>
  <c r="D42" i="10" s="1"/>
  <c r="B23" i="10"/>
  <c r="B42" i="10" s="1"/>
  <c r="P43" i="10"/>
  <c r="E23" i="10"/>
  <c r="E42" i="10" s="1"/>
  <c r="G23" i="10"/>
  <c r="S23" i="10"/>
  <c r="S43" i="10" s="1"/>
  <c r="Q41" i="10"/>
  <c r="Q43" i="10" s="1"/>
  <c r="R37" i="10"/>
  <c r="R40" i="10" s="1"/>
  <c r="R41" i="10" s="1"/>
  <c r="R43" i="10" s="1"/>
  <c r="X15" i="10"/>
  <c r="X23" i="10" s="1"/>
  <c r="V40" i="10"/>
  <c r="V41" i="10" s="1"/>
  <c r="V43" i="10" s="1"/>
  <c r="X40" i="10" l="1"/>
  <c r="X41" i="10" s="1"/>
  <c r="X43" i="10" s="1"/>
  <c r="Y37" i="10"/>
  <c r="C42" i="10"/>
  <c r="Y40" i="10" l="1"/>
  <c r="Y41" i="10" s="1"/>
  <c r="Y43" i="10" s="1"/>
  <c r="Z37" i="10"/>
  <c r="Z40" i="10" s="1"/>
  <c r="Z41" i="10" s="1"/>
  <c r="Z43" i="10" s="1"/>
  <c r="D86" i="8" l="1"/>
  <c r="D73" i="8"/>
  <c r="D50" i="8"/>
  <c r="D46" i="8"/>
  <c r="D40" i="8" l="1"/>
  <c r="D16" i="8" s="1"/>
  <c r="E15" i="8"/>
  <c r="E9" i="8" s="1"/>
  <c r="D146" i="8"/>
  <c r="D93" i="8"/>
  <c r="D17" i="8"/>
  <c r="D176" i="8"/>
  <c r="D196" i="8"/>
  <c r="D9" i="8"/>
  <c r="E16" i="8" l="1"/>
  <c r="D168" i="8" s="1"/>
  <c r="D199" i="8"/>
  <c r="E160" i="8" l="1"/>
  <c r="D162" i="8" s="1"/>
  <c r="E163" i="8" s="1"/>
  <c r="E166" i="8" s="1"/>
  <c r="E168" i="8" s="1"/>
  <c r="D165" i="8" l="1"/>
</calcChain>
</file>

<file path=xl/comments1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comments2.xml><?xml version="1.0" encoding="utf-8"?>
<comments xmlns="http://schemas.openxmlformats.org/spreadsheetml/2006/main">
  <authors>
    <author>Pimentel Elisa</author>
  </authors>
  <commentList>
    <comment ref="P18" authorId="0" shapeId="0">
      <text>
        <r>
          <rPr>
            <b/>
            <sz val="9"/>
            <color indexed="81"/>
            <rFont val="Tahoma"/>
            <family val="2"/>
          </rPr>
          <t>Pimentel Elisa:</t>
        </r>
        <r>
          <rPr>
            <sz val="9"/>
            <color indexed="81"/>
            <rFont val="Tahoma"/>
            <family val="2"/>
          </rPr>
          <t xml:space="preserve">
SE AGREGARON LOS VALORES DE LAS CTAS. 61301 Y 71201. AL PARECER NO ESTAN EN EL SIAB TODAVIA.
</t>
        </r>
      </text>
    </comment>
  </commentList>
</comments>
</file>

<file path=xl/sharedStrings.xml><?xml version="1.0" encoding="utf-8"?>
<sst xmlns="http://schemas.openxmlformats.org/spreadsheetml/2006/main" count="769" uniqueCount="371">
  <si>
    <t>DIRECCION GENERAL DE PASAPORTES</t>
  </si>
  <si>
    <t>DEPARTAMENTO FINANCIERO</t>
  </si>
  <si>
    <t>DIVISION DE CONTABILIDAD</t>
  </si>
  <si>
    <t>(VALORES EN RD$)</t>
  </si>
  <si>
    <t>ELECTRODOMESTICOS</t>
  </si>
  <si>
    <t>HERRAMIENTAS Y MAQUINARIAS</t>
  </si>
  <si>
    <t>EQUIPOS Y APARATOS AUDIOVISUALES</t>
  </si>
  <si>
    <t>ANTIGUEDADES, BIENES ARTISTICOS Y OTROS</t>
  </si>
  <si>
    <t>EQUIPOS DE SEGURIDAD</t>
  </si>
  <si>
    <t>Enc. Div. Contabilidad</t>
  </si>
  <si>
    <t>MUEBLES DE OFICINA Y ESTANTERIA</t>
  </si>
  <si>
    <t>CTA.</t>
  </si>
  <si>
    <t>INGRESOS</t>
  </si>
  <si>
    <t>I101</t>
  </si>
  <si>
    <t>PRESUPUESTARIOS</t>
  </si>
  <si>
    <t>I106-1</t>
  </si>
  <si>
    <t>I110</t>
  </si>
  <si>
    <t>I109</t>
  </si>
  <si>
    <t>RESUMEN DE INGRESOS Y GASTOS</t>
  </si>
  <si>
    <t>GASTOS OPERACIONALES</t>
  </si>
  <si>
    <t>SERVICIOS PERSONALES</t>
  </si>
  <si>
    <t>SUELDO FIJO</t>
  </si>
  <si>
    <t>SUELDO PERSONAL CONTRATADO</t>
  </si>
  <si>
    <t>SUPLENCIAS</t>
  </si>
  <si>
    <t>PERSONAL SERVICIOS ESPECIALES</t>
  </si>
  <si>
    <t>SULEDO 13</t>
  </si>
  <si>
    <t>PRESTACIONES LABORALES</t>
  </si>
  <si>
    <t>PROPORCION DE VACACIONES</t>
  </si>
  <si>
    <t>COMP. HORAS EXTRAORDINARIAS</t>
  </si>
  <si>
    <t>COMP. HORAS EXTRAORDINARIAS FIN DE AÑO</t>
  </si>
  <si>
    <t>PRIMA DE TRANSPORTE</t>
  </si>
  <si>
    <t>COMP. SERVICIO DE SEGURIDAD</t>
  </si>
  <si>
    <t>COMP. POR RESULTADOS</t>
  </si>
  <si>
    <t>BONOS POR DESEMPEÑO</t>
  </si>
  <si>
    <t>GASTOS DE REPRESENTACION</t>
  </si>
  <si>
    <t>DIETAS EN EL PAIS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</si>
  <si>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</si>
  <si>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</si>
  <si>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</si>
  <si>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</si>
  <si>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</si>
  <si>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</si>
  <si>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</si>
  <si>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</si>
  <si>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</si>
  <si>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</si>
  <si>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</si>
  <si>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</si>
  <si>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IMPRESIÓN Y ENCUADERNACION</t>
  </si>
  <si>
    <t>VIATICOS DENTRO DEL PAIS</t>
  </si>
  <si>
    <t>VIATICOS FUERA DEL PAIS</t>
  </si>
  <si>
    <t>PASAJE</t>
  </si>
  <si>
    <t>FLETE</t>
  </si>
  <si>
    <t>PEAJE</t>
  </si>
  <si>
    <t>ALQUILERES Y RENTA DE EDIFICIOS</t>
  </si>
  <si>
    <t>ALQUILER DE EQUIPOS DE COMPUTACION</t>
  </si>
  <si>
    <t>ALQUILERES DE EQUIPOS DE COMUNICACIÓN</t>
  </si>
  <si>
    <t>ALQUILER DE EQUIPOS DE OFICINA Y MUEBLES</t>
  </si>
  <si>
    <t>ALQ. EQUIPOS DE TRANSPORTE, TRACCION Y ELEV.</t>
  </si>
  <si>
    <t>OTROS ALQUILERES</t>
  </si>
  <si>
    <t>SEGURO DE BIENES INMUEBLES E INFRAESTRUCTURA</t>
  </si>
  <si>
    <t>SEGURO DE BIENES MUEBLES</t>
  </si>
  <si>
    <t>SEGUROS DE PERSONAS</t>
  </si>
  <si>
    <t>CONTRATACIONES DE OBRAS MENORES</t>
  </si>
  <si>
    <t>SERV. ESP. DE MANTENIMIENTO Y REP.</t>
  </si>
  <si>
    <t>INSTALACIONES ELECTRICAS</t>
  </si>
  <si>
    <t>SERV. DE PINTURA Y DERIVADOS CON FIN DE HIG. Y EMB.</t>
  </si>
  <si>
    <t>MANT. Y REPARACION DE EQUIPOS EDUCACIONAL</t>
  </si>
  <si>
    <t>MANT. Y REPARACION DE EQUIPOS DE COMP-</t>
  </si>
  <si>
    <t>MANT. Y REPARACION DE EQUIPOS DE OFICINA Y MUEBLES</t>
  </si>
  <si>
    <t>MANT. Y REPARACION DE EQUIPOS SANITARIOS Y DE LAB.</t>
  </si>
  <si>
    <t>MANT. Y REPARACION DE EQUIPOS DE TRANSP-, TRACC. Y ELEV.</t>
  </si>
  <si>
    <t>COMISIONES Y GASTOS BANCARIOS</t>
  </si>
  <si>
    <t>SERVICIOS FUNERARIOS Y GASTOS CONEXOS</t>
  </si>
  <si>
    <t>FUMIGACION</t>
  </si>
  <si>
    <t>LAVANDERIA</t>
  </si>
  <si>
    <t>LIMPIEZA E HIGIENE</t>
  </si>
  <si>
    <t>EVENTOS GENERALES</t>
  </si>
  <si>
    <t>FESTIVIDADES</t>
  </si>
  <si>
    <t>ESTUDIO DE INGENIERIA, INVESTIGACION Y ANALISIS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</si>
  <si>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</si>
  <si>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</si>
  <si>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</si>
  <si>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</si>
  <si>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</si>
  <si>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TASAS</t>
  </si>
  <si>
    <t>MATERIALES Y SUMINISTROS</t>
  </si>
  <si>
    <t>ALIMENTOS Y BEBIDAS PARA PERSONAS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</si>
  <si>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</si>
  <si>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</si>
  <si>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</si>
  <si>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</si>
  <si>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</si>
  <si>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</si>
  <si>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</si>
  <si>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PRODUCTOS DE ARTES GRAFICAS</t>
  </si>
  <si>
    <t>LIBROS, REVISTAS Y PERIODICOS</t>
  </si>
  <si>
    <t>ESPECIES TIMBRADAS</t>
  </si>
  <si>
    <t>PRODUCTOS MEDICOS PARA USO HUMANO</t>
  </si>
  <si>
    <t>CUEROS Y PIELES</t>
  </si>
  <si>
    <t>ARTICULOS DE CUERO</t>
  </si>
  <si>
    <t>LLANTAS Y NEUMATICOS</t>
  </si>
  <si>
    <t>ARTICULOS DE CAUCHO</t>
  </si>
  <si>
    <t>ARTICULOS DE PLASTICOS</t>
  </si>
  <si>
    <t>PRODUCTOS DE CEMENTO</t>
  </si>
  <si>
    <t>PRODUCTOS DE YESO</t>
  </si>
  <si>
    <t>PRODUCTOS DE VIDRIO</t>
  </si>
  <si>
    <t>PRODUCTOS DE LOZA</t>
  </si>
  <si>
    <t>PRODUCTOS DE PORCELANA</t>
  </si>
  <si>
    <t>PRODUCTOS FERROSOS</t>
  </si>
  <si>
    <t>ESTRUCTURAS METALICAS</t>
  </si>
  <si>
    <t>HERRAMIENTAS MENORES</t>
  </si>
  <si>
    <t>MINERALES</t>
  </si>
  <si>
    <t>CARBON MINERAL</t>
  </si>
  <si>
    <t>GASOLINA</t>
  </si>
  <si>
    <t>GASOIL</t>
  </si>
  <si>
    <t>GAS GLP</t>
  </si>
  <si>
    <t>ACEITE Y GRASA</t>
  </si>
  <si>
    <t>LUBRICANTES</t>
  </si>
  <si>
    <t>INCECTICIDAS, FUMIGANTES Y OTROS</t>
  </si>
  <si>
    <t>PRODUCTOS QUIMICOS DE USO PERSONAL</t>
  </si>
  <si>
    <t>PINTURAS, BARNICES</t>
  </si>
  <si>
    <t>MATERIALES DE LIMPIEZA</t>
  </si>
  <si>
    <t>UTILES DE ESCRITORIO, OFICINA Y ENSEÑANZAS</t>
  </si>
  <si>
    <t>UTILES DE COCINA</t>
  </si>
  <si>
    <t>PRODUCTOS ELECTRICOS Y AFINES</t>
  </si>
  <si>
    <t>OTROS REPUESTOS Y ACCESORIOS</t>
  </si>
  <si>
    <t>UTILES DIVERSOS</t>
  </si>
  <si>
    <t>PRODUCT. Y UTILES VARIOS P/ACT. FESTIVAS</t>
  </si>
  <si>
    <t>TRANSFERENCIAS CORRIENTES AL SECTOR PUBLICO</t>
  </si>
  <si>
    <t>INDEMNIZACION LABORAL</t>
  </si>
  <si>
    <t>AYUDAS Y DONACIONES PROGRAMADAS. A HOG. Y PERSONAS</t>
  </si>
  <si>
    <t>AYUDAS Y DON. OCASIONALES A HOG. Y PERS.</t>
  </si>
  <si>
    <t>BECAS Y VIAJES DE ESTUDIO</t>
  </si>
  <si>
    <t>BECAS EXTRANJERAS</t>
  </si>
  <si>
    <t>TRANSFERENCIAS CORRIENTES A EMPRESAS PRIVADAS</t>
  </si>
  <si>
    <t>TRANSFERENCIAS CORRIENTES A ASOC. S/FINES DE LUCRO</t>
  </si>
  <si>
    <t>TRANSFER. CORRIENTE A EMP. PUBL. NO FIN.</t>
  </si>
  <si>
    <t>GASTOS DE DEPRECIACION</t>
  </si>
  <si>
    <t>OBRAS EN EDIFICACION</t>
  </si>
  <si>
    <t>OBRAS PARA EDIFICACIONES NO RESIDENCIALES</t>
  </si>
  <si>
    <t>SUPERVISION E INPECCION DE OBRA EN EDIF.</t>
  </si>
  <si>
    <t>PARA CERRAR LOS GASTOS OPERACIONALES</t>
  </si>
  <si>
    <t>UTILIDAD DEL PERIODO</t>
  </si>
  <si>
    <t>PARA CERRAR LA CTA DE RESUMEN DE INGRESOS Y GASTOS</t>
  </si>
  <si>
    <t>PATRIMONIO</t>
  </si>
  <si>
    <t>PARA TRANSFERIR LA UTILIDAD DEL PERIODO A LA CTA DE PATRIMONIO</t>
  </si>
  <si>
    <t>TOTALES</t>
  </si>
  <si>
    <t>BIENES MUEBLES, INMUEBLES E INTANGIBLES</t>
  </si>
  <si>
    <t>EQUIPOS COMPUTACIONALES</t>
  </si>
  <si>
    <t>OTROS MOBILIARIOS Y EQUIPOS NO IDENTIFICADOS</t>
  </si>
  <si>
    <t>CAMARAS FOTOGRAFICAS</t>
  </si>
  <si>
    <t>EQUIPOS DE TRANSPORTES</t>
  </si>
  <si>
    <t>OTROS EQUIPOS DE TRASNPORTE</t>
  </si>
  <si>
    <t>MAQUINARIAS Y EQUIPOS INDUSTRIALES</t>
  </si>
  <si>
    <t>SISTEMA DE AIRE A. Y CAL. Y REP.</t>
  </si>
  <si>
    <t>EQUIPOS DE COMUNICACIÓN</t>
  </si>
  <si>
    <t>EQUIPO DE GENERACION</t>
  </si>
  <si>
    <t>OTROS EQUIPOS NO IDENTIFICADOS</t>
  </si>
  <si>
    <t>PROGRAMAS DE COMPUTACION</t>
  </si>
  <si>
    <t>EDIFICIOS</t>
  </si>
  <si>
    <t>SUELDO PERSONAL NOMINAL EN PERIODO DE PRUEBA</t>
  </si>
  <si>
    <t>EXTRAPRESUPUESTARIOS (CUT) 240-015423-0</t>
  </si>
  <si>
    <t>CONTABLE</t>
  </si>
  <si>
    <t>100-2087</t>
  </si>
  <si>
    <t>11010200010001</t>
  </si>
  <si>
    <t>11010300010001</t>
  </si>
  <si>
    <t>2087</t>
  </si>
  <si>
    <t>510101000100010001</t>
  </si>
  <si>
    <t>51010100020001</t>
  </si>
  <si>
    <t>51010100020003</t>
  </si>
  <si>
    <t>51010100020004</t>
  </si>
  <si>
    <t>51010100070001</t>
  </si>
  <si>
    <t>510101000700030001</t>
  </si>
  <si>
    <t>510101000700040001</t>
  </si>
  <si>
    <t>510101000300020005</t>
  </si>
  <si>
    <t>510101000300020006</t>
  </si>
  <si>
    <t>510101000300020009</t>
  </si>
  <si>
    <t>510101000300020015</t>
  </si>
  <si>
    <t>51010100080001</t>
  </si>
  <si>
    <t>51010100080002</t>
  </si>
  <si>
    <t>51010100080003</t>
  </si>
  <si>
    <t>510102000100010002</t>
  </si>
  <si>
    <t>510102000100010003</t>
  </si>
  <si>
    <t>510102000100010004</t>
  </si>
  <si>
    <t>510102000100010005</t>
  </si>
  <si>
    <t>510102000100020001</t>
  </si>
  <si>
    <t>510102000100020003</t>
  </si>
  <si>
    <t>510102000100020004</t>
  </si>
  <si>
    <t>510102000100030001</t>
  </si>
  <si>
    <t>510102000100030002</t>
  </si>
  <si>
    <t>510102000100040001</t>
  </si>
  <si>
    <t>510102000100040002</t>
  </si>
  <si>
    <t>510102000100050001</t>
  </si>
  <si>
    <t>510102000100050002</t>
  </si>
  <si>
    <t>510102000100050004</t>
  </si>
  <si>
    <t>510102000100060001</t>
  </si>
  <si>
    <t>510102000100060008</t>
  </si>
  <si>
    <t>510102000100069999</t>
  </si>
  <si>
    <t>510102000100070002</t>
  </si>
  <si>
    <t>510102000100070003</t>
  </si>
  <si>
    <t>510102000100080001</t>
  </si>
  <si>
    <t>510102000100090003</t>
  </si>
  <si>
    <t>510102000100080004</t>
  </si>
  <si>
    <t>510102000100090005</t>
  </si>
  <si>
    <t>510102000100090006</t>
  </si>
  <si>
    <t>510102000100090008</t>
  </si>
  <si>
    <t>510102000109990002</t>
  </si>
  <si>
    <t>510102000109990004</t>
  </si>
  <si>
    <t>510102000100020006</t>
  </si>
  <si>
    <t>510102000100020007</t>
  </si>
  <si>
    <t>510102000100020008</t>
  </si>
  <si>
    <t>510102000109990009</t>
  </si>
  <si>
    <t>510102000109990006</t>
  </si>
  <si>
    <t>510102000109990007</t>
  </si>
  <si>
    <t>510102000200010001</t>
  </si>
  <si>
    <t>510102000200010006</t>
  </si>
  <si>
    <t>510102000200010007</t>
  </si>
  <si>
    <t>510102000200020001</t>
  </si>
  <si>
    <t>510102000200020002</t>
  </si>
  <si>
    <t>510102000200020003</t>
  </si>
  <si>
    <t>510102000200020004</t>
  </si>
  <si>
    <t>510102000200030001</t>
  </si>
  <si>
    <t>510102000200030002</t>
  </si>
  <si>
    <t>510102000200030003</t>
  </si>
  <si>
    <t>510102000200030004</t>
  </si>
  <si>
    <t>510102000200030006</t>
  </si>
  <si>
    <t>510102000200040001</t>
  </si>
  <si>
    <t>510102000200050001</t>
  </si>
  <si>
    <t>510102000200050002</t>
  </si>
  <si>
    <t>510102000200050003</t>
  </si>
  <si>
    <t>510102000200050004</t>
  </si>
  <si>
    <t>510102000200050005</t>
  </si>
  <si>
    <t>510102000200060001</t>
  </si>
  <si>
    <t>510102000200060004</t>
  </si>
  <si>
    <t>510102000200060006</t>
  </si>
  <si>
    <t>510102000200060007</t>
  </si>
  <si>
    <t>510102000200060008</t>
  </si>
  <si>
    <t>510102000200060009</t>
  </si>
  <si>
    <t>5101020002000600011</t>
  </si>
  <si>
    <t>510102000200060003</t>
  </si>
  <si>
    <t>510102000200040003</t>
  </si>
  <si>
    <t>510102000200040004</t>
  </si>
  <si>
    <t>510102000200040006</t>
  </si>
  <si>
    <t>510102000200040007</t>
  </si>
  <si>
    <t>510102000200040008</t>
  </si>
  <si>
    <t>510102000200040014</t>
  </si>
  <si>
    <t>510102000200040012</t>
  </si>
  <si>
    <t>510102000200040015</t>
  </si>
  <si>
    <t>510102000200070001</t>
  </si>
  <si>
    <t>510102000200070002</t>
  </si>
  <si>
    <t>510102000200070005</t>
  </si>
  <si>
    <t>510102000200070006</t>
  </si>
  <si>
    <t>510102000200070008</t>
  </si>
  <si>
    <t>510102000200070999</t>
  </si>
  <si>
    <t>51040100020001</t>
  </si>
  <si>
    <t>51040100020002</t>
  </si>
  <si>
    <t>51040100020007</t>
  </si>
  <si>
    <t>51040100020009</t>
  </si>
  <si>
    <t>5101990001</t>
  </si>
  <si>
    <t>CTA</t>
  </si>
  <si>
    <t>CTA. CONTABLE</t>
  </si>
  <si>
    <t>1206030005</t>
  </si>
  <si>
    <t>1206030008</t>
  </si>
  <si>
    <t>ESTADO DE RESULTADO</t>
  </si>
  <si>
    <t>SERVICIOS DE ALIMENTACION</t>
  </si>
  <si>
    <t>MINISTERIO DE RELACIONES EXTERIORES</t>
  </si>
  <si>
    <t>Balance General</t>
  </si>
  <si>
    <t>(Saldos en RD$ pesos dominicanos)</t>
  </si>
  <si>
    <t>ACTIVOS</t>
  </si>
  <si>
    <t>Corrientes: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</si>
  <si>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</si>
  <si>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</si>
  <si>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</si>
  <si>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</si>
  <si>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</si>
  <si>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PASIVOS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</si>
  <si>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</si>
  <si>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</si>
  <si>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</si>
  <si>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</si>
  <si>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</si>
  <si>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Inicial</t>
  </si>
  <si>
    <t>Resultado de ejercicio anteriores</t>
  </si>
  <si>
    <t xml:space="preserve">Resultado neto del ejercicio </t>
  </si>
  <si>
    <t>TOTAL PATRIMONIO NETO</t>
  </si>
  <si>
    <t>TOTAL PASIVO Y PATRIMONIO</t>
  </si>
  <si>
    <t xml:space="preserve">Efectivo </t>
  </si>
  <si>
    <t>TOTAL DE ACTIVOS</t>
  </si>
  <si>
    <t>Ajuste al patrimonio</t>
  </si>
  <si>
    <t>Preparado por:</t>
  </si>
  <si>
    <t>Revisado por:</t>
  </si>
  <si>
    <t xml:space="preserve">Depreciación bienes muebles </t>
  </si>
  <si>
    <t>Depreciación bienes intangibles</t>
  </si>
  <si>
    <t>FEBRERO</t>
  </si>
  <si>
    <t>MARZO</t>
  </si>
  <si>
    <t>Equivalente de efectivo (Ejecución Presupuestaria)</t>
  </si>
  <si>
    <t>BENEFICIO ACUERDO DE DESEMPEÑO</t>
  </si>
  <si>
    <t>A3211101</t>
  </si>
  <si>
    <t>APERTURA CAJA CHICA</t>
  </si>
  <si>
    <t>Retenciones por pagar</t>
  </si>
  <si>
    <t>ABRIL</t>
  </si>
  <si>
    <t>MANT. Y REP. OBRAS CIVILES EN INST.</t>
  </si>
  <si>
    <t xml:space="preserve"> </t>
  </si>
  <si>
    <t>CTA 240-016441-4 (FONDO REPONIBLE)</t>
  </si>
  <si>
    <t>JUNIO</t>
  </si>
  <si>
    <t>JULIO</t>
  </si>
  <si>
    <t>AGOSTO</t>
  </si>
  <si>
    <t>SEPTIEMBRE</t>
  </si>
  <si>
    <t>OCTUBRE</t>
  </si>
  <si>
    <t>NOVIEMBRE</t>
  </si>
  <si>
    <t>PRODUCTOS DE CAL</t>
  </si>
  <si>
    <t>TRANSF. CORRIENTE OCAS. A ASOC.</t>
  </si>
  <si>
    <t>DIRECCIÓN GENERAL DE PASAPORTES</t>
  </si>
  <si>
    <t>DICIEMBRE</t>
  </si>
  <si>
    <t>SERVICIOS DE MANT. REP., DESMONTE E INST.</t>
  </si>
  <si>
    <t>PRODUCTOS AGROFORESTALES Y P.</t>
  </si>
  <si>
    <t>DISMINUCIÓN DE OTROS PASIVOS CONTINGENTES</t>
  </si>
  <si>
    <t>DISMINUCIÓN DE CUENTAS POR PAGAR A CORTO PLAZO</t>
  </si>
  <si>
    <t>ENERO</t>
  </si>
  <si>
    <t>MAYO</t>
  </si>
  <si>
    <t>JUNIO CORREGIDO</t>
  </si>
  <si>
    <t>JUNIO ULTIMO</t>
  </si>
  <si>
    <t>OTRAS CONTRATACIONES DE SERVICIOS</t>
  </si>
  <si>
    <t>PRODUCTOS Y UTILES DE DEFENSA NACIONAL</t>
  </si>
  <si>
    <t xml:space="preserve">Lic. Manuel Gregorio Florián </t>
  </si>
  <si>
    <t>Encargado Financiero</t>
  </si>
  <si>
    <t>Cta. 231-4000015-4</t>
  </si>
  <si>
    <t>Inventario</t>
  </si>
  <si>
    <t>Cuentas por cobrar</t>
  </si>
  <si>
    <t>FONDO</t>
  </si>
  <si>
    <t> Nom.Fondo</t>
  </si>
  <si>
    <t>Cod.Cta. Contable</t>
  </si>
  <si>
    <t>Cta. Contable</t>
  </si>
  <si>
    <t>Debito</t>
  </si>
  <si>
    <t> Credito</t>
  </si>
  <si>
    <t> Saldo</t>
  </si>
  <si>
    <t>RECURSOS DE CAPTACION DIRECTA DE LA DIRECCION GENERAL DE PASAPORTES LEY 144-99</t>
  </si>
  <si>
    <t>LICENCIAS INFORMÁTICAS</t>
  </si>
  <si>
    <t>                                 270,652.33</t>
  </si>
  <si>
    <t>                                       -  </t>
  </si>
  <si>
    <t>1ro. Contablemente no debe existir saldos en esta cuenta.</t>
  </si>
  <si>
    <t>3ro. en caso de que estas estén vencidas debe infórmanos para realizar el ajuste.</t>
  </si>
  <si>
    <t>Favor tramitar por esta vía las evidencias para el desmonte de este saldo.</t>
  </si>
  <si>
    <t xml:space="preserve">12080100050001 </t>
  </si>
  <si>
    <t xml:space="preserve">2do. Enviarnos vía correo las informaciones y documentaciones referente al tema para </t>
  </si>
  <si>
    <t>el ajuste de esta cuenta., para proceder con el ajuste.</t>
  </si>
  <si>
    <t xml:space="preserve">La cuenta contable numero 12080100050001    LICENCIAS INFORMÁTICAS, al 31 de diciembre 2020, no debe </t>
  </si>
  <si>
    <t>tener saldo en contabilidad SIGEF.</t>
  </si>
  <si>
    <t>PRESTACIONES LABORALES POR DESVINCULACION</t>
  </si>
  <si>
    <t>ASIGNACION FONDO 2087 (100010102384894)</t>
  </si>
  <si>
    <t>PREP. POR: Lic.</t>
  </si>
  <si>
    <t>Lic. Bernys Pérez Meran</t>
  </si>
  <si>
    <t>Aux. de Contabilidad</t>
  </si>
  <si>
    <t>PRODUCTO Y UTILES DIVERSOS</t>
  </si>
  <si>
    <t>Al 31/03/2021</t>
  </si>
  <si>
    <t>TOTAL PERIODO 2021  MARZO</t>
  </si>
  <si>
    <t>OTROS PRODUCTOS METALICOS</t>
  </si>
  <si>
    <t>PRODUCTO EXPLOSIVOS Y PIROTECNIA</t>
  </si>
  <si>
    <t>OTROS PRODUCTO QUIMICOS Y CONEXO</t>
  </si>
  <si>
    <t>EQUIPO DE ELEVACION</t>
  </si>
  <si>
    <t>UTILES MENORES MEDICO QUIRURGICO Y DE LABORATORIO</t>
  </si>
  <si>
    <t>PRODUCTO METALICOS</t>
  </si>
  <si>
    <t>EQUIPO DE TRACCION</t>
  </si>
  <si>
    <t>INSTRUMENTAL MEDICO Y DE LABORATORIO</t>
  </si>
  <si>
    <t>EQUIPOS E INSTRUCMENTOS DE MEDICION CIENTIFICA</t>
  </si>
  <si>
    <t>TOTAL PERIODO 2021  AGOSTO</t>
  </si>
  <si>
    <t>Al 31/08/2021</t>
  </si>
  <si>
    <t>PERSONAL TEMPORAL EN CARGOS DE CARRERA</t>
  </si>
  <si>
    <t xml:space="preserve"> MANTENIMIENTO Y REP.INSTALACIONES ELECTRICAS</t>
  </si>
  <si>
    <t>SERVICIOS SANITARIOS MEDICOS Y VETERINARIOS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</si>
</sst>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164" fontId="3" fillId="2" borderId="4" xfId="1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wrapText="1"/>
    </xf>
    <xf numFmtId="164" fontId="4" fillId="2" borderId="4" xfId="1" applyFont="1" applyFill="1" applyBorder="1"/>
    <xf numFmtId="0" fontId="0" fillId="0" borderId="4" xfId="0" applyBorder="1" applyAlignment="1">
      <alignment horizontal="right"/>
    </xf>
    <xf numFmtId="0" fontId="0" fillId="0" borderId="4" xfId="0" applyBorder="1" applyAlignment="1">
      <alignment wrapText="1"/>
    </xf>
    <xf numFmtId="164" fontId="0" fillId="0" borderId="4" xfId="1" applyFont="1" applyBorder="1"/>
    <xf numFmtId="0" fontId="0" fillId="0" borderId="4" xfId="0" applyBorder="1"/>
    <xf numFmtId="0" fontId="0" fillId="2" borderId="4" xfId="0" applyFill="1" applyBorder="1"/>
    <xf numFmtId="164" fontId="3" fillId="2" borderId="4" xfId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4" fontId="7" fillId="2" borderId="4" xfId="1" applyFont="1" applyFill="1" applyBorder="1"/>
    <xf numFmtId="164" fontId="7" fillId="0" borderId="4" xfId="1" applyFont="1" applyFill="1" applyBorder="1"/>
    <xf numFmtId="164" fontId="9" fillId="0" borderId="4" xfId="1" applyFont="1" applyFill="1" applyBorder="1"/>
    <xf numFmtId="164" fontId="0" fillId="0" borderId="4" xfId="0" applyNumberFormat="1" applyBorder="1"/>
    <xf numFmtId="164" fontId="0" fillId="2" borderId="4" xfId="0" applyNumberFormat="1" applyFill="1" applyBorder="1"/>
    <xf numFmtId="164" fontId="3" fillId="0" borderId="0" xfId="1" applyFont="1" applyFill="1" applyBorder="1"/>
    <xf numFmtId="164" fontId="0" fillId="0" borderId="0" xfId="1" applyFont="1" applyBorder="1"/>
    <xf numFmtId="164" fontId="0" fillId="0" borderId="0" xfId="1" applyFont="1" applyFill="1" applyBorder="1"/>
    <xf numFmtId="164" fontId="4" fillId="0" borderId="0" xfId="1" applyFont="1" applyFill="1" applyBorder="1"/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164" fontId="0" fillId="0" borderId="4" xfId="1" applyFont="1" applyFill="1" applyBorder="1"/>
    <xf numFmtId="164" fontId="7" fillId="0" borderId="0" xfId="1" applyFont="1" applyFill="1" applyBorder="1"/>
    <xf numFmtId="0" fontId="0" fillId="0" borderId="4" xfId="0" applyBorder="1" applyAlignment="1">
      <alignment horizontal="left"/>
    </xf>
    <xf numFmtId="49" fontId="0" fillId="0" borderId="4" xfId="0" applyNumberFormat="1" applyBorder="1" applyAlignment="1">
      <alignment horizontal="left"/>
    </xf>
    <xf numFmtId="0" fontId="0" fillId="2" borderId="4" xfId="0" applyFill="1" applyBorder="1" applyAlignment="1">
      <alignment horizontal="left"/>
    </xf>
    <xf numFmtId="0" fontId="4" fillId="3" borderId="0" xfId="0" applyFont="1" applyFill="1"/>
    <xf numFmtId="164" fontId="4" fillId="3" borderId="0" xfId="1" applyFont="1" applyFill="1"/>
    <xf numFmtId="164" fontId="4" fillId="3" borderId="1" xfId="1" applyFont="1" applyFill="1" applyBorder="1"/>
    <xf numFmtId="164" fontId="4" fillId="2" borderId="0" xfId="0" applyNumberFormat="1" applyFont="1" applyFill="1"/>
    <xf numFmtId="164" fontId="0" fillId="3" borderId="0" xfId="1" applyFont="1" applyFill="1"/>
    <xf numFmtId="0" fontId="0" fillId="0" borderId="5" xfId="0" applyBorder="1"/>
    <xf numFmtId="164" fontId="0" fillId="4" borderId="0" xfId="1" applyFont="1" applyFill="1"/>
    <xf numFmtId="164" fontId="0" fillId="0" borderId="0" xfId="1" applyFont="1" applyAlignment="1">
      <alignment horizontal="center"/>
    </xf>
    <xf numFmtId="164" fontId="0" fillId="0" borderId="0" xfId="0" applyNumberFormat="1"/>
    <xf numFmtId="164" fontId="4" fillId="3" borderId="0" xfId="1" applyFont="1" applyFill="1" applyAlignment="1">
      <alignment horizontal="right"/>
    </xf>
    <xf numFmtId="39" fontId="0" fillId="0" borderId="0" xfId="0" applyNumberFormat="1"/>
    <xf numFmtId="39" fontId="0" fillId="0" borderId="0" xfId="1" applyNumberFormat="1" applyFont="1" applyAlignment="1">
      <alignment horizontal="center"/>
    </xf>
    <xf numFmtId="39" fontId="0" fillId="0" borderId="0" xfId="1" applyNumberFormat="1" applyFont="1"/>
    <xf numFmtId="39" fontId="4" fillId="3" borderId="0" xfId="1" applyNumberFormat="1" applyFont="1" applyFill="1"/>
    <xf numFmtId="39" fontId="0" fillId="4" borderId="0" xfId="1" applyNumberFormat="1" applyFont="1" applyFill="1"/>
    <xf numFmtId="0" fontId="0" fillId="4" borderId="0" xfId="0" applyFill="1"/>
    <xf numFmtId="49" fontId="0" fillId="0" borderId="4" xfId="0" applyNumberFormat="1" applyBorder="1"/>
    <xf numFmtId="4" fontId="0" fillId="0" borderId="4" xfId="0" applyNumberFormat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164" fontId="0" fillId="0" borderId="0" xfId="0" applyNumberFormat="1" applyFill="1"/>
    <xf numFmtId="39" fontId="0" fillId="0" borderId="0" xfId="0" applyNumberFormat="1" applyFill="1"/>
    <xf numFmtId="164" fontId="0" fillId="0" borderId="0" xfId="1" applyFont="1" applyFill="1"/>
    <xf numFmtId="0" fontId="5" fillId="0" borderId="0" xfId="0" applyFont="1" applyAlignment="1">
      <alignment horizontal="center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164" fontId="0" fillId="5" borderId="4" xfId="1" applyFont="1" applyFill="1" applyBorder="1"/>
    <xf numFmtId="4" fontId="0" fillId="5" borderId="0" xfId="0" applyNumberFormat="1" applyFill="1"/>
    <xf numFmtId="164" fontId="13" fillId="5" borderId="0" xfId="1" applyFont="1" applyFill="1"/>
    <xf numFmtId="0" fontId="0" fillId="5" borderId="4" xfId="0" applyFill="1" applyBorder="1" applyAlignment="1">
      <alignment horizontal="right"/>
    </xf>
    <xf numFmtId="0" fontId="0" fillId="5" borderId="4" xfId="0" applyFill="1" applyBorder="1" applyAlignment="1"/>
    <xf numFmtId="164" fontId="3" fillId="5" borderId="4" xfId="1" applyFont="1" applyFill="1" applyBorder="1"/>
    <xf numFmtId="164" fontId="0" fillId="5" borderId="0" xfId="0" applyNumberFormat="1" applyFill="1"/>
    <xf numFmtId="39" fontId="0" fillId="5" borderId="0" xfId="0" applyNumberFormat="1" applyFill="1"/>
    <xf numFmtId="164" fontId="0" fillId="5" borderId="0" xfId="1" applyFont="1" applyFill="1"/>
    <xf numFmtId="0" fontId="0" fillId="5" borderId="0" xfId="0" applyFill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142875</xdr:rowOff>
    </xdr:from>
    <xdr:to>
      <xdr:col>0</xdr:col>
      <xdr:colOff>926124</xdr:colOff>
      <xdr:row>5</xdr:row>
      <xdr:rowOff>133431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396875"/>
          <a:ext cx="751499" cy="8001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9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8793</xdr:rowOff>
    </xdr:from>
    <xdr:to>
      <xdr:col>0</xdr:col>
      <xdr:colOff>1037249</xdr:colOff>
      <xdr:row>3</xdr:row>
      <xdr:rowOff>165030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793"/>
          <a:ext cx="751499" cy="7467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pimentel/Desktop/BK%20Elisa%2010-2020/Escritorio/LIBRE%20ACCESO%20A%20LA%20INFORMACION%202021/ENERO/BALANCE%20GENERAL%20DE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%20oai%202019/LIBRE%20ACCESO%20A%20LA%20INFORMACION/SEPTIEMBRE/BALANCE%20GENERAL%20DE%20SEPT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"/>
      <sheetName val="formato nuevo balance general "/>
      <sheetName val="Hoja1"/>
    </sheetNames>
    <sheetDataSet>
      <sheetData sheetId="0">
        <row r="11">
          <cell r="D11">
            <v>219222822.13</v>
          </cell>
        </row>
        <row r="13">
          <cell r="D13">
            <v>355764.03</v>
          </cell>
        </row>
        <row r="14">
          <cell r="D14">
            <v>5318634.8000000007</v>
          </cell>
        </row>
        <row r="164">
          <cell r="E164">
            <v>1036449105.8799999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resultado enero"/>
      <sheetName val=" BALANCE GRAL julio"/>
      <sheetName val="estado de resultado "/>
      <sheetName val="flujo de efectivo"/>
      <sheetName val="formato nuevo balance general "/>
    </sheetNames>
    <sheetDataSet>
      <sheetData sheetId="0"/>
      <sheetData sheetId="1"/>
      <sheetData sheetId="2">
        <row r="145">
          <cell r="E145">
            <v>185311596.00999999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topLeftCell="A46" zoomScale="120" zoomScaleNormal="120" zoomScaleSheetLayoutView="100" workbookViewId="0">
      <selection activeCell="D16" sqref="D16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70" t="s">
        <v>0</v>
      </c>
      <c r="B1" s="70"/>
      <c r="C1" s="70"/>
      <c r="D1" s="70"/>
      <c r="E1" s="70"/>
    </row>
    <row r="2" spans="1:7" ht="18" x14ac:dyDescent="0.25">
      <c r="A2" s="71" t="s">
        <v>1</v>
      </c>
      <c r="B2" s="71"/>
      <c r="C2" s="71"/>
      <c r="D2" s="71"/>
      <c r="E2" s="71"/>
    </row>
    <row r="3" spans="1:7" ht="15.75" x14ac:dyDescent="0.25">
      <c r="A3" s="72" t="s">
        <v>2</v>
      </c>
      <c r="B3" s="72"/>
      <c r="C3" s="72"/>
      <c r="D3" s="72"/>
      <c r="E3" s="72"/>
    </row>
    <row r="4" spans="1:7" x14ac:dyDescent="0.25">
      <c r="A4" s="73" t="s">
        <v>264</v>
      </c>
      <c r="B4" s="73"/>
      <c r="C4" s="73"/>
      <c r="D4" s="73"/>
      <c r="E4" s="73"/>
    </row>
    <row r="5" spans="1:7" x14ac:dyDescent="0.25">
      <c r="A5" s="73" t="s">
        <v>3</v>
      </c>
      <c r="B5" s="73"/>
      <c r="C5" s="73"/>
      <c r="D5" s="73"/>
      <c r="E5" s="73"/>
    </row>
    <row r="6" spans="1:7" x14ac:dyDescent="0.25">
      <c r="A6" s="74">
        <v>2021</v>
      </c>
      <c r="B6" s="74"/>
      <c r="C6" s="74"/>
      <c r="D6" s="74"/>
      <c r="E6" s="74"/>
    </row>
    <row r="8" spans="1:7" ht="39" customHeight="1" x14ac:dyDescent="0.25">
      <c r="A8" s="25" t="s">
        <v>260</v>
      </c>
      <c r="B8" s="68"/>
      <c r="C8" s="69"/>
      <c r="D8" s="3" t="s">
        <v>366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898527052.88999999</v>
      </c>
      <c r="E9" s="6">
        <f>+E15</f>
        <v>898527052.88999999</v>
      </c>
    </row>
    <row r="10" spans="1:7" x14ac:dyDescent="0.25">
      <c r="A10" s="10" t="s">
        <v>164</v>
      </c>
      <c r="B10" s="7" t="s">
        <v>13</v>
      </c>
      <c r="C10" s="8" t="s">
        <v>14</v>
      </c>
      <c r="D10" s="58">
        <v>454396806.31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58">
        <v>442915483.81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1071493.6499999999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58">
        <v>143269.12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898527052.88999999</v>
      </c>
    </row>
    <row r="16" spans="1:7" x14ac:dyDescent="0.25">
      <c r="A16" s="11"/>
      <c r="B16" s="11"/>
      <c r="C16" s="5" t="s">
        <v>19</v>
      </c>
      <c r="D16" s="35">
        <f>+D17+D41+D95+D148+D161+D178</f>
        <v>39050350.520000003</v>
      </c>
      <c r="E16" s="35">
        <f>+D16</f>
        <v>39050350.520000003</v>
      </c>
    </row>
    <row r="17" spans="1:9" x14ac:dyDescent="0.25">
      <c r="A17" s="11"/>
      <c r="B17" s="11">
        <v>1</v>
      </c>
      <c r="C17" s="5" t="s">
        <v>20</v>
      </c>
      <c r="D17" s="12">
        <f>SUM(D18:D40)</f>
        <v>31469378.59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20091486.199999999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2918333.33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E22" s="9"/>
    </row>
    <row r="23" spans="1:9" ht="30" x14ac:dyDescent="0.25">
      <c r="A23" s="10"/>
      <c r="B23" s="10">
        <v>11210</v>
      </c>
      <c r="C23" s="8" t="s">
        <v>368</v>
      </c>
      <c r="D23" s="58">
        <v>2978000</v>
      </c>
      <c r="E23" s="9"/>
    </row>
    <row r="24" spans="1:9" x14ac:dyDescent="0.25">
      <c r="A24" s="10" t="s">
        <v>173</v>
      </c>
      <c r="B24" s="10">
        <v>11401</v>
      </c>
      <c r="C24" s="8" t="s">
        <v>25</v>
      </c>
      <c r="D24" s="58"/>
      <c r="E24" s="9"/>
    </row>
    <row r="25" spans="1:9" x14ac:dyDescent="0.25">
      <c r="A25" s="10" t="s">
        <v>174</v>
      </c>
      <c r="B25" s="10">
        <v>11501</v>
      </c>
      <c r="C25" s="8" t="s">
        <v>26</v>
      </c>
      <c r="D25" s="58"/>
      <c r="E25" s="9"/>
    </row>
    <row r="26" spans="1:9" ht="30" x14ac:dyDescent="0.25">
      <c r="A26" s="10"/>
      <c r="B26" s="10">
        <v>11503</v>
      </c>
      <c r="C26" s="8" t="s">
        <v>349</v>
      </c>
      <c r="D26" s="58">
        <v>61600</v>
      </c>
      <c r="E26" s="58"/>
    </row>
    <row r="27" spans="1:9" x14ac:dyDescent="0.25">
      <c r="A27" s="10"/>
      <c r="B27" s="10">
        <v>11504</v>
      </c>
      <c r="C27" s="8" t="s">
        <v>27</v>
      </c>
      <c r="D27" s="58">
        <v>19187.82</v>
      </c>
      <c r="E27" s="58"/>
    </row>
    <row r="28" spans="1:9" x14ac:dyDescent="0.25">
      <c r="A28" s="10"/>
      <c r="B28" s="10">
        <v>12202</v>
      </c>
      <c r="C28" s="8" t="s">
        <v>28</v>
      </c>
      <c r="D28" s="58"/>
      <c r="E28" s="9"/>
      <c r="I28" s="40"/>
    </row>
    <row r="29" spans="1:9" ht="30" x14ac:dyDescent="0.25">
      <c r="A29" s="10"/>
      <c r="B29" s="10">
        <v>12203</v>
      </c>
      <c r="C29" s="8" t="s">
        <v>29</v>
      </c>
      <c r="D29" s="58"/>
      <c r="E29" s="58"/>
    </row>
    <row r="30" spans="1:9" x14ac:dyDescent="0.25">
      <c r="A30" s="10" t="s">
        <v>175</v>
      </c>
      <c r="B30" s="10">
        <v>12204</v>
      </c>
      <c r="C30" s="8" t="s">
        <v>30</v>
      </c>
      <c r="D30" s="58"/>
      <c r="E30" s="58"/>
    </row>
    <row r="31" spans="1:9" x14ac:dyDescent="0.25">
      <c r="A31" s="10" t="s">
        <v>176</v>
      </c>
      <c r="B31" s="10">
        <v>12205</v>
      </c>
      <c r="C31" s="8" t="s">
        <v>31</v>
      </c>
      <c r="D31" s="58">
        <v>1355000</v>
      </c>
      <c r="E31" s="58"/>
    </row>
    <row r="32" spans="1:9" x14ac:dyDescent="0.25">
      <c r="A32" s="10" t="s">
        <v>177</v>
      </c>
      <c r="B32" s="10">
        <v>12206</v>
      </c>
      <c r="C32" s="8" t="s">
        <v>32</v>
      </c>
      <c r="D32" s="58">
        <v>41666.67</v>
      </c>
      <c r="E32" s="9"/>
    </row>
    <row r="33" spans="1:8" x14ac:dyDescent="0.25">
      <c r="A33" s="10" t="s">
        <v>178</v>
      </c>
      <c r="B33" s="10">
        <v>12209</v>
      </c>
      <c r="C33" s="8" t="s">
        <v>33</v>
      </c>
      <c r="D33" s="58">
        <v>73000</v>
      </c>
      <c r="E33" s="9"/>
    </row>
    <row r="34" spans="1:8" x14ac:dyDescent="0.25">
      <c r="A34" s="10"/>
      <c r="B34" s="10">
        <v>12210</v>
      </c>
      <c r="C34" s="8" t="s">
        <v>297</v>
      </c>
      <c r="D34" s="58"/>
      <c r="E34" s="9"/>
    </row>
    <row r="35" spans="1:8" ht="30" x14ac:dyDescent="0.25">
      <c r="A35" s="10"/>
      <c r="B35" s="10">
        <v>12215</v>
      </c>
      <c r="C35" s="8" t="s">
        <v>29</v>
      </c>
      <c r="D35" s="58"/>
      <c r="E35" s="9"/>
    </row>
    <row r="36" spans="1:8" x14ac:dyDescent="0.25">
      <c r="A36" s="10"/>
      <c r="B36" s="10">
        <v>13201</v>
      </c>
      <c r="C36" s="8" t="s">
        <v>34</v>
      </c>
      <c r="D36" s="58"/>
      <c r="E36" s="9"/>
    </row>
    <row r="37" spans="1:8" x14ac:dyDescent="0.25">
      <c r="A37" s="10" t="s">
        <v>179</v>
      </c>
      <c r="B37" s="10">
        <v>13101</v>
      </c>
      <c r="C37" s="8" t="s">
        <v>35</v>
      </c>
      <c r="D37" s="58"/>
      <c r="E37" s="9"/>
    </row>
    <row r="38" spans="1:8" x14ac:dyDescent="0.25">
      <c r="A38" s="10" t="s">
        <v>180</v>
      </c>
      <c r="B38" s="10">
        <v>15101</v>
      </c>
      <c r="C38" s="8" t="s">
        <v>36</v>
      </c>
      <c r="D38" s="59">
        <v>1833390.31</v>
      </c>
      <c r="E38" s="58"/>
    </row>
    <row r="39" spans="1:8" x14ac:dyDescent="0.25">
      <c r="A39" s="10" t="s">
        <v>181</v>
      </c>
      <c r="B39" s="10">
        <v>15201</v>
      </c>
      <c r="C39" s="8" t="s">
        <v>37</v>
      </c>
      <c r="D39" s="58">
        <v>1845135.2</v>
      </c>
      <c r="E39" s="58"/>
    </row>
    <row r="40" spans="1:8" ht="30" x14ac:dyDescent="0.25">
      <c r="A40" s="10"/>
      <c r="B40" s="10">
        <v>15301</v>
      </c>
      <c r="C40" s="8" t="s">
        <v>38</v>
      </c>
      <c r="D40" s="58">
        <v>252579.06</v>
      </c>
      <c r="E40" s="58"/>
    </row>
    <row r="41" spans="1:8" x14ac:dyDescent="0.25">
      <c r="A41" s="11"/>
      <c r="B41" s="11">
        <v>2</v>
      </c>
      <c r="C41" s="5" t="s">
        <v>39</v>
      </c>
      <c r="D41" s="63">
        <f>SUM(D42:D94)</f>
        <v>7234265.8700000001</v>
      </c>
      <c r="E41" s="63"/>
    </row>
    <row r="42" spans="1:8" x14ac:dyDescent="0.25">
      <c r="A42" s="10" t="s">
        <v>182</v>
      </c>
      <c r="B42" s="10">
        <v>21201</v>
      </c>
      <c r="C42" s="8" t="s">
        <v>40</v>
      </c>
      <c r="D42" s="59">
        <v>26786.06</v>
      </c>
      <c r="E42" s="58"/>
      <c r="H42">
        <v>26786.06</v>
      </c>
    </row>
    <row r="43" spans="1:8" x14ac:dyDescent="0.25">
      <c r="A43" s="10" t="s">
        <v>183</v>
      </c>
      <c r="B43" s="10">
        <v>21301</v>
      </c>
      <c r="C43" s="8" t="s">
        <v>41</v>
      </c>
      <c r="D43" s="58">
        <v>24951.26</v>
      </c>
      <c r="E43" s="58"/>
    </row>
    <row r="44" spans="1:8" x14ac:dyDescent="0.25">
      <c r="A44" s="10" t="s">
        <v>184</v>
      </c>
      <c r="B44" s="10">
        <v>21401</v>
      </c>
      <c r="C44" s="8" t="s">
        <v>42</v>
      </c>
      <c r="D44" s="58">
        <v>2050</v>
      </c>
      <c r="E44" s="58"/>
    </row>
    <row r="45" spans="1:8" x14ac:dyDescent="0.25">
      <c r="A45" s="10" t="s">
        <v>185</v>
      </c>
      <c r="B45" s="10">
        <v>21501</v>
      </c>
      <c r="C45" s="8" t="s">
        <v>43</v>
      </c>
      <c r="D45" s="58">
        <v>1358235.59</v>
      </c>
      <c r="E45" s="58"/>
    </row>
    <row r="46" spans="1:8" x14ac:dyDescent="0.25">
      <c r="A46" s="10" t="s">
        <v>186</v>
      </c>
      <c r="B46" s="10">
        <v>21601</v>
      </c>
      <c r="C46" s="8" t="s">
        <v>44</v>
      </c>
      <c r="D46" s="58">
        <v>1729904.47</v>
      </c>
      <c r="E46" s="58"/>
    </row>
    <row r="47" spans="1:8" x14ac:dyDescent="0.25">
      <c r="A47" s="10" t="s">
        <v>187</v>
      </c>
      <c r="B47" s="10">
        <v>21701</v>
      </c>
      <c r="C47" s="8" t="s">
        <v>45</v>
      </c>
      <c r="D47" s="58">
        <v>5940</v>
      </c>
      <c r="E47" s="58"/>
    </row>
    <row r="48" spans="1:8" x14ac:dyDescent="0.25">
      <c r="A48" s="10" t="s">
        <v>188</v>
      </c>
      <c r="B48" s="10">
        <v>21801</v>
      </c>
      <c r="C48" s="8" t="s">
        <v>46</v>
      </c>
      <c r="D48" s="58">
        <v>8544</v>
      </c>
      <c r="E48" s="58"/>
    </row>
    <row r="49" spans="1:5" x14ac:dyDescent="0.25">
      <c r="A49" s="10" t="s">
        <v>189</v>
      </c>
      <c r="B49" s="10">
        <v>22101</v>
      </c>
      <c r="C49" s="8" t="s">
        <v>47</v>
      </c>
      <c r="D49" s="58">
        <v>314434.59999999998</v>
      </c>
      <c r="E49" s="58"/>
    </row>
    <row r="50" spans="1:5" x14ac:dyDescent="0.25">
      <c r="A50" s="10" t="s">
        <v>190</v>
      </c>
      <c r="B50" s="10">
        <v>22201</v>
      </c>
      <c r="C50" s="8" t="s">
        <v>48</v>
      </c>
      <c r="D50" s="58">
        <v>200.01</v>
      </c>
      <c r="E50" s="58"/>
    </row>
    <row r="51" spans="1:5" x14ac:dyDescent="0.25">
      <c r="A51" s="10" t="s">
        <v>191</v>
      </c>
      <c r="B51" s="10">
        <v>23101</v>
      </c>
      <c r="C51" s="8" t="s">
        <v>49</v>
      </c>
      <c r="D51" s="58">
        <f>55700+99173</f>
        <v>154873</v>
      </c>
      <c r="E51" s="58"/>
    </row>
    <row r="52" spans="1:5" x14ac:dyDescent="0.25">
      <c r="A52" s="10" t="s">
        <v>192</v>
      </c>
      <c r="B52" s="10">
        <v>23201</v>
      </c>
      <c r="C52" s="8" t="s">
        <v>50</v>
      </c>
      <c r="D52" s="58"/>
      <c r="E52" s="58"/>
    </row>
    <row r="53" spans="1:5" x14ac:dyDescent="0.25">
      <c r="A53" s="10" t="s">
        <v>193</v>
      </c>
      <c r="B53" s="10">
        <v>24101</v>
      </c>
      <c r="C53" s="8" t="s">
        <v>51</v>
      </c>
      <c r="D53" s="58"/>
      <c r="E53" s="58"/>
    </row>
    <row r="54" spans="1:5" x14ac:dyDescent="0.25">
      <c r="A54" s="10" t="s">
        <v>194</v>
      </c>
      <c r="B54" s="10">
        <v>24201</v>
      </c>
      <c r="C54" s="8" t="s">
        <v>52</v>
      </c>
      <c r="D54" s="58"/>
      <c r="E54" s="58"/>
    </row>
    <row r="55" spans="1:5" x14ac:dyDescent="0.25">
      <c r="A55" s="10" t="s">
        <v>195</v>
      </c>
      <c r="B55" s="10">
        <v>24401</v>
      </c>
      <c r="C55" s="8" t="s">
        <v>53</v>
      </c>
      <c r="D55" s="58">
        <v>1240</v>
      </c>
      <c r="E55" s="58"/>
    </row>
    <row r="56" spans="1:5" x14ac:dyDescent="0.25">
      <c r="A56" s="10" t="s">
        <v>196</v>
      </c>
      <c r="B56" s="10">
        <v>25101</v>
      </c>
      <c r="C56" s="8" t="s">
        <v>54</v>
      </c>
      <c r="D56" s="58">
        <v>692040.31</v>
      </c>
      <c r="E56" s="58"/>
    </row>
    <row r="57" spans="1:5" x14ac:dyDescent="0.25">
      <c r="A57" s="10"/>
      <c r="B57" s="10">
        <v>25302</v>
      </c>
      <c r="C57" s="8" t="s">
        <v>55</v>
      </c>
      <c r="D57" s="58"/>
      <c r="E57" s="58"/>
    </row>
    <row r="58" spans="1:5" x14ac:dyDescent="0.25">
      <c r="A58" s="10"/>
      <c r="B58" s="10">
        <v>25303</v>
      </c>
      <c r="C58" s="8" t="s">
        <v>56</v>
      </c>
      <c r="D58" s="58"/>
      <c r="E58" s="58"/>
    </row>
    <row r="59" spans="1:5" ht="30" x14ac:dyDescent="0.25">
      <c r="A59" s="10"/>
      <c r="B59" s="10">
        <v>25304</v>
      </c>
      <c r="C59" s="8" t="s">
        <v>57</v>
      </c>
      <c r="D59" s="58"/>
      <c r="E59" s="58"/>
    </row>
    <row r="60" spans="1:5" ht="30" x14ac:dyDescent="0.25">
      <c r="A60" s="10" t="s">
        <v>197</v>
      </c>
      <c r="B60" s="10">
        <v>25401</v>
      </c>
      <c r="C60" s="8" t="s">
        <v>58</v>
      </c>
      <c r="D60" s="58"/>
      <c r="E60" s="58"/>
    </row>
    <row r="61" spans="1:5" x14ac:dyDescent="0.25">
      <c r="A61" s="10" t="s">
        <v>198</v>
      </c>
      <c r="B61" s="10">
        <v>25801</v>
      </c>
      <c r="C61" s="8" t="s">
        <v>59</v>
      </c>
      <c r="D61" s="58">
        <v>530000.02</v>
      </c>
      <c r="E61" s="9"/>
    </row>
    <row r="62" spans="1:5" ht="30" x14ac:dyDescent="0.25">
      <c r="A62" s="10"/>
      <c r="B62" s="10">
        <v>26101</v>
      </c>
      <c r="C62" s="8" t="s">
        <v>60</v>
      </c>
      <c r="D62" s="58"/>
      <c r="E62" s="58"/>
    </row>
    <row r="63" spans="1:5" x14ac:dyDescent="0.25">
      <c r="A63" s="10" t="s">
        <v>199</v>
      </c>
      <c r="B63" s="10">
        <v>26201</v>
      </c>
      <c r="C63" s="8" t="s">
        <v>61</v>
      </c>
      <c r="D63" s="58"/>
      <c r="E63" s="58"/>
    </row>
    <row r="64" spans="1:5" x14ac:dyDescent="0.25">
      <c r="A64" s="10" t="s">
        <v>200</v>
      </c>
      <c r="B64" s="10">
        <v>26301</v>
      </c>
      <c r="C64" s="8" t="s">
        <v>62</v>
      </c>
      <c r="D64" s="58">
        <v>1144111.76</v>
      </c>
      <c r="E64" s="58"/>
    </row>
    <row r="65" spans="1:5" x14ac:dyDescent="0.25">
      <c r="A65" s="10" t="s">
        <v>201</v>
      </c>
      <c r="B65" s="10">
        <v>27101</v>
      </c>
      <c r="C65" s="8" t="s">
        <v>63</v>
      </c>
      <c r="D65" s="58"/>
      <c r="E65" s="9"/>
    </row>
    <row r="66" spans="1:5" x14ac:dyDescent="0.25">
      <c r="A66" s="10" t="s">
        <v>202</v>
      </c>
      <c r="B66" s="10">
        <v>27102</v>
      </c>
      <c r="C66" s="8" t="s">
        <v>64</v>
      </c>
      <c r="D66" s="58"/>
      <c r="E66" s="9"/>
    </row>
    <row r="67" spans="1:5" x14ac:dyDescent="0.25">
      <c r="A67" s="10"/>
      <c r="B67" s="10">
        <v>27104</v>
      </c>
      <c r="C67" s="8" t="s">
        <v>302</v>
      </c>
      <c r="D67" s="58"/>
      <c r="E67" s="9"/>
    </row>
    <row r="68" spans="1:5" ht="30" x14ac:dyDescent="0.25">
      <c r="A68" s="10" t="s">
        <v>203</v>
      </c>
      <c r="B68" s="10">
        <v>27106</v>
      </c>
      <c r="C68" s="8" t="s">
        <v>369</v>
      </c>
      <c r="D68" s="58">
        <v>304943.51</v>
      </c>
      <c r="E68" s="58"/>
    </row>
    <row r="69" spans="1:5" ht="30" x14ac:dyDescent="0.25">
      <c r="A69" s="10"/>
      <c r="B69" s="10">
        <v>27107</v>
      </c>
      <c r="C69" s="8" t="s">
        <v>66</v>
      </c>
      <c r="D69" s="58"/>
      <c r="E69" s="58"/>
    </row>
    <row r="70" spans="1:5" ht="30" x14ac:dyDescent="0.25">
      <c r="A70" s="10" t="s">
        <v>204</v>
      </c>
      <c r="B70" s="10">
        <v>27201</v>
      </c>
      <c r="C70" s="8" t="s">
        <v>67</v>
      </c>
      <c r="D70" s="58"/>
      <c r="E70" s="58"/>
    </row>
    <row r="71" spans="1:5" x14ac:dyDescent="0.25">
      <c r="A71" s="10"/>
      <c r="B71" s="10">
        <v>27202</v>
      </c>
      <c r="C71" s="8" t="s">
        <v>68</v>
      </c>
      <c r="D71" s="58"/>
      <c r="E71" s="58"/>
    </row>
    <row r="72" spans="1:5" ht="30" x14ac:dyDescent="0.25">
      <c r="A72" s="10"/>
      <c r="B72" s="10">
        <v>272041</v>
      </c>
      <c r="C72" s="8" t="s">
        <v>69</v>
      </c>
      <c r="D72" s="58"/>
      <c r="E72" s="58"/>
    </row>
    <row r="73" spans="1:5" ht="30" x14ac:dyDescent="0.25">
      <c r="A73" s="10" t="s">
        <v>205</v>
      </c>
      <c r="B73" s="10">
        <v>27205</v>
      </c>
      <c r="C73" s="8" t="s">
        <v>70</v>
      </c>
      <c r="D73" s="58"/>
      <c r="E73" s="58"/>
    </row>
    <row r="74" spans="1:5" ht="30" x14ac:dyDescent="0.25">
      <c r="A74" s="10" t="s">
        <v>206</v>
      </c>
      <c r="B74" s="10">
        <v>27206</v>
      </c>
      <c r="C74" s="8" t="s">
        <v>71</v>
      </c>
      <c r="D74" s="58">
        <v>22791.49</v>
      </c>
      <c r="E74" s="58"/>
    </row>
    <row r="75" spans="1:5" ht="30" x14ac:dyDescent="0.25">
      <c r="A75" s="10"/>
      <c r="B75" s="10">
        <v>27208</v>
      </c>
      <c r="C75" s="8" t="s">
        <v>315</v>
      </c>
      <c r="D75" s="58"/>
      <c r="E75" s="58"/>
    </row>
    <row r="76" spans="1:5" x14ac:dyDescent="0.25">
      <c r="A76" s="10" t="s">
        <v>207</v>
      </c>
      <c r="B76" s="10">
        <v>28201</v>
      </c>
      <c r="C76" s="8" t="s">
        <v>72</v>
      </c>
      <c r="D76" s="58"/>
      <c r="E76" s="58"/>
    </row>
    <row r="77" spans="1:5" ht="30" x14ac:dyDescent="0.25">
      <c r="A77" s="10"/>
      <c r="B77" s="10">
        <v>28301</v>
      </c>
      <c r="C77" s="8" t="s">
        <v>370</v>
      </c>
      <c r="D77" s="58">
        <v>443290</v>
      </c>
      <c r="E77" s="58"/>
    </row>
    <row r="78" spans="1:5" x14ac:dyDescent="0.25">
      <c r="A78" s="10" t="s">
        <v>208</v>
      </c>
      <c r="B78" s="10">
        <v>28401</v>
      </c>
      <c r="C78" s="8" t="s">
        <v>73</v>
      </c>
      <c r="D78" s="58"/>
      <c r="E78" s="58"/>
    </row>
    <row r="79" spans="1:5" x14ac:dyDescent="0.25">
      <c r="A79" s="10" t="s">
        <v>209</v>
      </c>
      <c r="B79" s="10">
        <v>28501</v>
      </c>
      <c r="C79" s="8" t="s">
        <v>74</v>
      </c>
      <c r="D79" s="58">
        <v>290000</v>
      </c>
      <c r="E79" s="58"/>
    </row>
    <row r="80" spans="1:5" x14ac:dyDescent="0.25">
      <c r="A80" s="10" t="s">
        <v>210</v>
      </c>
      <c r="B80" s="10">
        <v>28502</v>
      </c>
      <c r="C80" s="8" t="s">
        <v>75</v>
      </c>
      <c r="D80" s="58"/>
      <c r="E80" s="58"/>
    </row>
    <row r="81" spans="1:5" x14ac:dyDescent="0.25">
      <c r="A81" s="10" t="s">
        <v>211</v>
      </c>
      <c r="B81" s="10">
        <v>28503</v>
      </c>
      <c r="C81" s="8" t="s">
        <v>76</v>
      </c>
      <c r="D81" s="58">
        <v>139428.29</v>
      </c>
      <c r="E81" s="58"/>
    </row>
    <row r="82" spans="1:5" x14ac:dyDescent="0.25">
      <c r="A82" s="10" t="s">
        <v>212</v>
      </c>
      <c r="B82" s="13">
        <v>28601</v>
      </c>
      <c r="C82" s="14" t="s">
        <v>77</v>
      </c>
      <c r="D82" s="58">
        <v>501.5</v>
      </c>
      <c r="E82" s="58"/>
    </row>
    <row r="83" spans="1:5" x14ac:dyDescent="0.25">
      <c r="A83" s="10"/>
      <c r="B83" s="10">
        <v>28602</v>
      </c>
      <c r="C83" s="8" t="s">
        <v>78</v>
      </c>
      <c r="D83" s="58"/>
      <c r="E83" s="58"/>
    </row>
    <row r="84" spans="1:5" ht="30" x14ac:dyDescent="0.25">
      <c r="A84" s="10"/>
      <c r="B84" s="10">
        <v>28701</v>
      </c>
      <c r="C84" s="8" t="s">
        <v>79</v>
      </c>
      <c r="D84" s="58"/>
      <c r="E84" s="9"/>
    </row>
    <row r="85" spans="1:5" x14ac:dyDescent="0.25">
      <c r="A85" s="10"/>
      <c r="B85" s="10">
        <v>28702</v>
      </c>
      <c r="C85" s="8" t="s">
        <v>80</v>
      </c>
      <c r="D85" s="58"/>
      <c r="E85" s="9"/>
    </row>
    <row r="86" spans="1:5" x14ac:dyDescent="0.25">
      <c r="A86" s="10"/>
      <c r="B86" s="10">
        <v>28704</v>
      </c>
      <c r="C86" s="8" t="s">
        <v>81</v>
      </c>
      <c r="D86" s="58"/>
      <c r="E86" s="9"/>
    </row>
    <row r="87" spans="1:5" x14ac:dyDescent="0.25">
      <c r="A87" s="10"/>
      <c r="B87" s="10">
        <v>28705</v>
      </c>
      <c r="C87" s="8" t="s">
        <v>82</v>
      </c>
      <c r="D87" s="58"/>
      <c r="E87" s="58"/>
    </row>
    <row r="88" spans="1:5" x14ac:dyDescent="0.25">
      <c r="A88" s="10" t="s">
        <v>213</v>
      </c>
      <c r="B88" s="10">
        <v>28706</v>
      </c>
      <c r="C88" s="8" t="s">
        <v>83</v>
      </c>
      <c r="D88" s="58">
        <v>40000</v>
      </c>
      <c r="E88" s="58"/>
    </row>
    <row r="89" spans="1:5" x14ac:dyDescent="0.25">
      <c r="A89" s="10" t="s">
        <v>214</v>
      </c>
      <c r="B89" s="10">
        <v>28801</v>
      </c>
      <c r="C89" s="8" t="s">
        <v>84</v>
      </c>
      <c r="D89" s="58"/>
      <c r="E89" s="58"/>
    </row>
    <row r="90" spans="1:5" x14ac:dyDescent="0.25">
      <c r="A90" s="10"/>
      <c r="B90" s="10">
        <v>28802</v>
      </c>
      <c r="C90" s="8" t="s">
        <v>85</v>
      </c>
      <c r="D90" s="58"/>
      <c r="E90" s="58"/>
    </row>
    <row r="91" spans="1:5" x14ac:dyDescent="0.25">
      <c r="A91" s="10"/>
      <c r="B91" s="10">
        <v>28803</v>
      </c>
      <c r="C91" s="8" t="s">
        <v>85</v>
      </c>
      <c r="D91" s="58"/>
      <c r="E91" s="58"/>
    </row>
    <row r="92" spans="1:5" x14ac:dyDescent="0.25">
      <c r="A92" s="10"/>
      <c r="B92" s="10">
        <v>28804</v>
      </c>
      <c r="C92" s="8" t="s">
        <v>85</v>
      </c>
      <c r="D92" s="58"/>
      <c r="E92" s="58"/>
    </row>
    <row r="93" spans="1:5" x14ac:dyDescent="0.25">
      <c r="A93" s="10"/>
      <c r="B93" s="10">
        <v>29101</v>
      </c>
      <c r="C93" s="8" t="s">
        <v>323</v>
      </c>
      <c r="D93" s="58"/>
      <c r="E93" s="58"/>
    </row>
    <row r="94" spans="1:5" x14ac:dyDescent="0.25">
      <c r="A94" s="10"/>
      <c r="B94" s="10">
        <v>29201</v>
      </c>
      <c r="C94" s="8" t="s">
        <v>265</v>
      </c>
      <c r="D94" s="58"/>
      <c r="E94" s="9"/>
    </row>
    <row r="95" spans="1:5" x14ac:dyDescent="0.25">
      <c r="A95" s="11"/>
      <c r="B95" s="11">
        <v>3</v>
      </c>
      <c r="C95" s="5" t="s">
        <v>86</v>
      </c>
      <c r="D95" s="63">
        <f>SUM(D96:D147)</f>
        <v>346706.06</v>
      </c>
      <c r="E95" s="63"/>
    </row>
    <row r="96" spans="1:5" x14ac:dyDescent="0.25">
      <c r="A96" s="10" t="s">
        <v>215</v>
      </c>
      <c r="B96" s="13">
        <v>31101</v>
      </c>
      <c r="C96" s="14" t="s">
        <v>87</v>
      </c>
      <c r="D96" s="58">
        <v>78840.320000000007</v>
      </c>
      <c r="E96" s="58"/>
    </row>
    <row r="97" spans="1:5" x14ac:dyDescent="0.25">
      <c r="A97" s="10" t="s">
        <v>216</v>
      </c>
      <c r="B97" s="10">
        <v>31303</v>
      </c>
      <c r="C97" s="8" t="s">
        <v>316</v>
      </c>
      <c r="D97" s="58"/>
      <c r="E97" s="58"/>
    </row>
    <row r="98" spans="1:5" x14ac:dyDescent="0.25">
      <c r="A98" s="10" t="s">
        <v>217</v>
      </c>
      <c r="B98" s="10">
        <v>31401</v>
      </c>
      <c r="C98" s="8" t="s">
        <v>88</v>
      </c>
      <c r="D98" s="58">
        <v>148.5</v>
      </c>
      <c r="E98" s="58"/>
    </row>
    <row r="99" spans="1:5" x14ac:dyDescent="0.25">
      <c r="A99" s="10" t="s">
        <v>218</v>
      </c>
      <c r="B99" s="10">
        <v>32101</v>
      </c>
      <c r="C99" s="8" t="s">
        <v>89</v>
      </c>
      <c r="D99" s="58"/>
      <c r="E99" s="58"/>
    </row>
    <row r="100" spans="1:5" x14ac:dyDescent="0.25">
      <c r="A100" s="10" t="s">
        <v>219</v>
      </c>
      <c r="B100" s="10">
        <v>32201</v>
      </c>
      <c r="C100" s="8" t="s">
        <v>90</v>
      </c>
      <c r="D100" s="58"/>
      <c r="E100" s="58"/>
    </row>
    <row r="101" spans="1:5" x14ac:dyDescent="0.25">
      <c r="A101" s="10" t="s">
        <v>220</v>
      </c>
      <c r="B101" s="10">
        <v>32301</v>
      </c>
      <c r="C101" s="8" t="s">
        <v>91</v>
      </c>
      <c r="D101" s="58"/>
      <c r="E101" s="58"/>
    </row>
    <row r="102" spans="1:5" x14ac:dyDescent="0.25">
      <c r="A102" s="10" t="s">
        <v>221</v>
      </c>
      <c r="B102" s="10">
        <v>32401</v>
      </c>
      <c r="C102" s="8" t="s">
        <v>92</v>
      </c>
      <c r="D102" s="58"/>
      <c r="E102" s="58"/>
    </row>
    <row r="103" spans="1:5" x14ac:dyDescent="0.25">
      <c r="A103" s="10" t="s">
        <v>222</v>
      </c>
      <c r="B103" s="10">
        <v>33101</v>
      </c>
      <c r="C103" s="8" t="s">
        <v>93</v>
      </c>
      <c r="D103" s="58">
        <v>12020.43</v>
      </c>
      <c r="E103" s="58"/>
    </row>
    <row r="104" spans="1:5" x14ac:dyDescent="0.25">
      <c r="A104" s="10" t="s">
        <v>223</v>
      </c>
      <c r="B104" s="10">
        <v>33201</v>
      </c>
      <c r="C104" s="8" t="s">
        <v>94</v>
      </c>
      <c r="D104" s="58">
        <v>7951.22</v>
      </c>
      <c r="E104" s="58"/>
    </row>
    <row r="105" spans="1:5" x14ac:dyDescent="0.25">
      <c r="A105" s="10" t="s">
        <v>224</v>
      </c>
      <c r="B105" s="10">
        <v>33301</v>
      </c>
      <c r="C105" s="8" t="s">
        <v>95</v>
      </c>
      <c r="D105" s="58"/>
      <c r="E105" s="58"/>
    </row>
    <row r="106" spans="1:5" x14ac:dyDescent="0.25">
      <c r="A106" s="10" t="s">
        <v>225</v>
      </c>
      <c r="B106" s="10">
        <v>33401</v>
      </c>
      <c r="C106" s="8" t="s">
        <v>96</v>
      </c>
      <c r="D106" s="58"/>
      <c r="E106" s="58"/>
    </row>
    <row r="107" spans="1:5" x14ac:dyDescent="0.25">
      <c r="A107" s="10" t="s">
        <v>226</v>
      </c>
      <c r="B107" s="10">
        <v>33601</v>
      </c>
      <c r="C107" s="8" t="s">
        <v>97</v>
      </c>
      <c r="D107" s="58"/>
      <c r="E107" s="58"/>
    </row>
    <row r="108" spans="1:5" x14ac:dyDescent="0.25">
      <c r="A108" s="10" t="s">
        <v>227</v>
      </c>
      <c r="B108" s="10">
        <v>34101</v>
      </c>
      <c r="C108" s="8" t="s">
        <v>98</v>
      </c>
      <c r="D108" s="58">
        <v>1000</v>
      </c>
      <c r="E108" s="58"/>
    </row>
    <row r="109" spans="1:5" x14ac:dyDescent="0.25">
      <c r="A109" s="10" t="s">
        <v>228</v>
      </c>
      <c r="B109" s="10">
        <v>35101</v>
      </c>
      <c r="C109" s="8" t="s">
        <v>99</v>
      </c>
      <c r="D109" s="58"/>
      <c r="E109" s="58"/>
    </row>
    <row r="110" spans="1:5" x14ac:dyDescent="0.25">
      <c r="A110" s="10" t="s">
        <v>229</v>
      </c>
      <c r="B110" s="10">
        <v>35201</v>
      </c>
      <c r="C110" s="8" t="s">
        <v>100</v>
      </c>
      <c r="D110" s="58"/>
      <c r="E110" s="58"/>
    </row>
    <row r="111" spans="1:5" x14ac:dyDescent="0.25">
      <c r="A111" s="10" t="s">
        <v>230</v>
      </c>
      <c r="B111" s="10">
        <v>35301</v>
      </c>
      <c r="C111" s="8" t="s">
        <v>101</v>
      </c>
      <c r="D111" s="58"/>
      <c r="E111" s="58"/>
    </row>
    <row r="112" spans="1:5" x14ac:dyDescent="0.25">
      <c r="A112" s="10" t="s">
        <v>231</v>
      </c>
      <c r="B112" s="10">
        <v>35401</v>
      </c>
      <c r="C112" s="8" t="s">
        <v>102</v>
      </c>
      <c r="D112" s="58"/>
      <c r="E112" s="58"/>
    </row>
    <row r="113" spans="1:9" x14ac:dyDescent="0.25">
      <c r="A113" s="10" t="s">
        <v>232</v>
      </c>
      <c r="B113" s="10">
        <v>35501</v>
      </c>
      <c r="C113" s="8" t="s">
        <v>103</v>
      </c>
      <c r="D113" s="58">
        <v>1578.57</v>
      </c>
      <c r="E113" s="58"/>
    </row>
    <row r="114" spans="1:9" x14ac:dyDescent="0.25">
      <c r="A114" s="10" t="s">
        <v>233</v>
      </c>
      <c r="B114" s="10">
        <v>36101</v>
      </c>
      <c r="C114" s="8" t="s">
        <v>104</v>
      </c>
      <c r="D114" s="58"/>
      <c r="E114" s="58"/>
    </row>
    <row r="115" spans="1:9" x14ac:dyDescent="0.25">
      <c r="A115" s="10"/>
      <c r="B115" s="10">
        <v>36102</v>
      </c>
      <c r="C115" s="8" t="s">
        <v>311</v>
      </c>
      <c r="D115" s="58"/>
      <c r="E115" s="58"/>
    </row>
    <row r="116" spans="1:9" x14ac:dyDescent="0.25">
      <c r="A116" s="10" t="s">
        <v>234</v>
      </c>
      <c r="B116" s="10">
        <v>36104</v>
      </c>
      <c r="C116" s="8" t="s">
        <v>105</v>
      </c>
      <c r="D116" s="58"/>
      <c r="E116" s="58"/>
    </row>
    <row r="117" spans="1:9" x14ac:dyDescent="0.25">
      <c r="A117" s="10" t="s">
        <v>235</v>
      </c>
      <c r="B117" s="10">
        <v>36201</v>
      </c>
      <c r="C117" s="8" t="s">
        <v>106</v>
      </c>
      <c r="D117" s="58"/>
      <c r="E117" s="58"/>
    </row>
    <row r="118" spans="1:9" x14ac:dyDescent="0.25">
      <c r="A118" s="10" t="s">
        <v>236</v>
      </c>
      <c r="B118" s="10">
        <v>36202</v>
      </c>
      <c r="C118" s="8" t="s">
        <v>107</v>
      </c>
      <c r="D118" s="58"/>
      <c r="E118" s="58"/>
    </row>
    <row r="119" spans="1:9" x14ac:dyDescent="0.25">
      <c r="A119" s="10" t="s">
        <v>237</v>
      </c>
      <c r="B119" s="10">
        <v>36203</v>
      </c>
      <c r="C119" s="8" t="s">
        <v>108</v>
      </c>
      <c r="D119" s="58"/>
      <c r="E119" s="58"/>
    </row>
    <row r="120" spans="1:9" x14ac:dyDescent="0.25">
      <c r="A120" s="10" t="s">
        <v>238</v>
      </c>
      <c r="B120" s="10">
        <v>36301</v>
      </c>
      <c r="C120" s="8" t="s">
        <v>109</v>
      </c>
      <c r="D120" s="58"/>
      <c r="E120" s="58"/>
    </row>
    <row r="121" spans="1:9" x14ac:dyDescent="0.25">
      <c r="A121" s="10"/>
      <c r="B121" s="10">
        <v>36302</v>
      </c>
      <c r="C121" s="8" t="s">
        <v>107</v>
      </c>
      <c r="D121" s="58"/>
      <c r="E121" s="58"/>
    </row>
    <row r="122" spans="1:9" x14ac:dyDescent="0.25">
      <c r="A122" s="10" t="s">
        <v>239</v>
      </c>
      <c r="B122" s="10">
        <v>36303</v>
      </c>
      <c r="C122" s="8" t="s">
        <v>110</v>
      </c>
      <c r="D122" s="58"/>
      <c r="E122" s="58"/>
    </row>
    <row r="123" spans="1:9" x14ac:dyDescent="0.25">
      <c r="A123" s="10" t="s">
        <v>240</v>
      </c>
      <c r="B123" s="10">
        <v>36304</v>
      </c>
      <c r="C123" s="8" t="s">
        <v>111</v>
      </c>
      <c r="D123" s="58">
        <v>3508</v>
      </c>
      <c r="E123" s="58"/>
    </row>
    <row r="124" spans="1:9" s="1" customFormat="1" x14ac:dyDescent="0.25">
      <c r="A124" s="10" t="s">
        <v>240</v>
      </c>
      <c r="B124" s="10">
        <v>36306</v>
      </c>
      <c r="C124" s="8" t="s">
        <v>362</v>
      </c>
      <c r="D124" s="58"/>
      <c r="E124" s="58"/>
      <c r="G124"/>
      <c r="H124"/>
      <c r="I124"/>
    </row>
    <row r="125" spans="1:9" s="1" customFormat="1" x14ac:dyDescent="0.25">
      <c r="A125" s="10"/>
      <c r="B125" s="56">
        <v>36307</v>
      </c>
      <c r="C125" s="57" t="s">
        <v>357</v>
      </c>
      <c r="D125" s="58"/>
      <c r="E125" s="58"/>
      <c r="G125"/>
      <c r="H125"/>
      <c r="I125"/>
    </row>
    <row r="126" spans="1:9" s="1" customFormat="1" x14ac:dyDescent="0.25">
      <c r="A126" s="10"/>
      <c r="B126" s="56">
        <v>36401</v>
      </c>
      <c r="C126" s="57"/>
      <c r="D126" s="58"/>
      <c r="E126" s="58"/>
      <c r="G126"/>
      <c r="H126"/>
      <c r="I126"/>
    </row>
    <row r="127" spans="1:9" s="1" customFormat="1" x14ac:dyDescent="0.25">
      <c r="A127" s="10" t="s">
        <v>234</v>
      </c>
      <c r="B127" s="56">
        <v>36403</v>
      </c>
      <c r="C127" s="57" t="s">
        <v>113</v>
      </c>
      <c r="D127" s="58"/>
      <c r="E127" s="58"/>
      <c r="G127"/>
      <c r="H127"/>
      <c r="I127"/>
    </row>
    <row r="128" spans="1:9" s="1" customFormat="1" x14ac:dyDescent="0.25">
      <c r="A128" s="10" t="s">
        <v>241</v>
      </c>
      <c r="B128" s="56">
        <v>37101</v>
      </c>
      <c r="C128" s="57" t="s">
        <v>114</v>
      </c>
      <c r="D128" s="58"/>
      <c r="E128" s="58"/>
      <c r="G128"/>
      <c r="H128"/>
      <c r="I128"/>
    </row>
    <row r="129" spans="1:9" s="1" customFormat="1" x14ac:dyDescent="0.25">
      <c r="A129" s="10" t="s">
        <v>242</v>
      </c>
      <c r="B129" s="56">
        <v>37102</v>
      </c>
      <c r="C129" s="57" t="s">
        <v>115</v>
      </c>
      <c r="D129" s="58"/>
      <c r="E129" s="58"/>
      <c r="G129"/>
      <c r="H129"/>
      <c r="I129"/>
    </row>
    <row r="130" spans="1:9" s="1" customFormat="1" x14ac:dyDescent="0.25">
      <c r="A130" s="10" t="s">
        <v>243</v>
      </c>
      <c r="B130" s="56">
        <v>37104</v>
      </c>
      <c r="C130" s="57" t="s">
        <v>116</v>
      </c>
      <c r="D130" s="58"/>
      <c r="E130" s="58"/>
      <c r="G130"/>
      <c r="H130"/>
      <c r="I130"/>
    </row>
    <row r="131" spans="1:9" s="1" customFormat="1" x14ac:dyDescent="0.25">
      <c r="A131" s="10" t="s">
        <v>244</v>
      </c>
      <c r="B131" s="56">
        <v>37105</v>
      </c>
      <c r="C131" s="57" t="s">
        <v>117</v>
      </c>
      <c r="D131" s="58"/>
      <c r="E131" s="58"/>
      <c r="G131"/>
      <c r="H131"/>
      <c r="I131"/>
    </row>
    <row r="132" spans="1:9" s="1" customFormat="1" x14ac:dyDescent="0.25">
      <c r="A132" s="10" t="s">
        <v>245</v>
      </c>
      <c r="B132" s="56">
        <v>37106</v>
      </c>
      <c r="C132" s="57" t="s">
        <v>118</v>
      </c>
      <c r="D132" s="58"/>
      <c r="E132" s="58"/>
      <c r="G132"/>
      <c r="H132"/>
      <c r="I132"/>
    </row>
    <row r="133" spans="1:9" s="1" customFormat="1" x14ac:dyDescent="0.25">
      <c r="A133" s="10"/>
      <c r="B133" s="56">
        <v>37201</v>
      </c>
      <c r="C133" s="57" t="s">
        <v>358</v>
      </c>
      <c r="D133" s="58"/>
      <c r="E133" s="58"/>
      <c r="G133"/>
      <c r="H133"/>
      <c r="I133"/>
    </row>
    <row r="134" spans="1:9" s="1" customFormat="1" x14ac:dyDescent="0.25">
      <c r="A134" s="10" t="s">
        <v>247</v>
      </c>
      <c r="B134" s="10">
        <v>37203</v>
      </c>
      <c r="C134" s="8" t="s">
        <v>120</v>
      </c>
      <c r="D134" s="58">
        <v>260</v>
      </c>
      <c r="E134" s="58"/>
      <c r="G134"/>
      <c r="H134"/>
      <c r="I134"/>
    </row>
    <row r="135" spans="1:9" s="1" customFormat="1" x14ac:dyDescent="0.25">
      <c r="A135" s="10" t="s">
        <v>246</v>
      </c>
      <c r="B135" s="10">
        <v>37205</v>
      </c>
      <c r="C135" s="8" t="s">
        <v>119</v>
      </c>
      <c r="D135" s="58"/>
      <c r="E135" s="58"/>
      <c r="G135"/>
      <c r="H135"/>
      <c r="I135"/>
    </row>
    <row r="136" spans="1:9" s="1" customFormat="1" x14ac:dyDescent="0.25">
      <c r="A136" s="10" t="s">
        <v>248</v>
      </c>
      <c r="B136" s="10">
        <v>37206</v>
      </c>
      <c r="C136" s="8" t="s">
        <v>121</v>
      </c>
      <c r="D136" s="58"/>
      <c r="E136" s="58"/>
      <c r="G136"/>
      <c r="H136"/>
      <c r="I136"/>
    </row>
    <row r="137" spans="1:9" s="1" customFormat="1" x14ac:dyDescent="0.25">
      <c r="A137" s="10"/>
      <c r="B137" s="56">
        <v>37299</v>
      </c>
      <c r="C137" s="57" t="s">
        <v>359</v>
      </c>
      <c r="D137" s="58"/>
      <c r="E137" s="58"/>
      <c r="G137"/>
      <c r="H137"/>
      <c r="I137"/>
    </row>
    <row r="138" spans="1:9" s="1" customFormat="1" x14ac:dyDescent="0.25">
      <c r="A138" s="10" t="s">
        <v>249</v>
      </c>
      <c r="B138" s="56">
        <v>39101</v>
      </c>
      <c r="C138" s="57" t="s">
        <v>122</v>
      </c>
      <c r="D138" s="58">
        <v>423.9</v>
      </c>
      <c r="E138" s="58"/>
      <c r="G138"/>
      <c r="H138"/>
      <c r="I138"/>
    </row>
    <row r="139" spans="1:9" s="1" customFormat="1" ht="30" x14ac:dyDescent="0.25">
      <c r="A139" s="10" t="s">
        <v>250</v>
      </c>
      <c r="B139" s="56">
        <v>39201</v>
      </c>
      <c r="C139" s="57" t="s">
        <v>123</v>
      </c>
      <c r="D139" s="58">
        <f>50660.41+13032.1</f>
        <v>63692.51</v>
      </c>
      <c r="E139" s="58"/>
      <c r="G139"/>
      <c r="H139"/>
      <c r="I139"/>
    </row>
    <row r="140" spans="1:9" s="1" customFormat="1" ht="30" x14ac:dyDescent="0.25">
      <c r="A140" s="10"/>
      <c r="B140" s="56">
        <v>39301</v>
      </c>
      <c r="C140" s="57" t="s">
        <v>361</v>
      </c>
      <c r="D140" s="58"/>
      <c r="E140" s="58"/>
      <c r="G140"/>
      <c r="H140"/>
      <c r="I140"/>
    </row>
    <row r="141" spans="1:9" s="1" customFormat="1" x14ac:dyDescent="0.25">
      <c r="A141" s="10" t="s">
        <v>251</v>
      </c>
      <c r="B141" s="56">
        <v>39501</v>
      </c>
      <c r="C141" s="57" t="s">
        <v>124</v>
      </c>
      <c r="D141" s="58">
        <v>667</v>
      </c>
      <c r="E141" s="58"/>
      <c r="G141"/>
      <c r="H141"/>
      <c r="I141"/>
    </row>
    <row r="142" spans="1:9" s="1" customFormat="1" x14ac:dyDescent="0.25">
      <c r="A142" s="10" t="s">
        <v>252</v>
      </c>
      <c r="B142" s="10">
        <v>39601</v>
      </c>
      <c r="C142" s="8" t="s">
        <v>125</v>
      </c>
      <c r="D142" s="58">
        <f>174800+695.61</f>
        <v>175495.61</v>
      </c>
      <c r="E142" s="58"/>
      <c r="G142"/>
      <c r="H142"/>
      <c r="I142"/>
    </row>
    <row r="143" spans="1:9" s="1" customFormat="1" x14ac:dyDescent="0.25">
      <c r="A143" s="10" t="s">
        <v>253</v>
      </c>
      <c r="B143" s="10">
        <v>39801</v>
      </c>
      <c r="C143" s="8" t="s">
        <v>126</v>
      </c>
      <c r="D143" s="58"/>
      <c r="E143" s="58"/>
      <c r="G143"/>
      <c r="H143"/>
      <c r="I143"/>
    </row>
    <row r="144" spans="1:9" s="1" customFormat="1" x14ac:dyDescent="0.25">
      <c r="A144" s="10" t="s">
        <v>254</v>
      </c>
      <c r="B144" s="10">
        <v>39901</v>
      </c>
      <c r="C144" s="8" t="s">
        <v>127</v>
      </c>
      <c r="D144" s="58">
        <v>1120</v>
      </c>
      <c r="E144" s="58"/>
      <c r="G144"/>
      <c r="H144"/>
      <c r="I144"/>
    </row>
    <row r="145" spans="1:9" s="1" customFormat="1" x14ac:dyDescent="0.25">
      <c r="A145" s="10" t="s">
        <v>254</v>
      </c>
      <c r="B145" s="10">
        <v>39902</v>
      </c>
      <c r="C145" s="8" t="s">
        <v>128</v>
      </c>
      <c r="D145" s="58"/>
      <c r="E145" s="58"/>
      <c r="G145"/>
      <c r="H145"/>
      <c r="I145"/>
    </row>
    <row r="146" spans="1:9" s="1" customFormat="1" x14ac:dyDescent="0.25">
      <c r="A146" s="10"/>
      <c r="B146" s="10">
        <v>39904</v>
      </c>
      <c r="C146" s="8" t="s">
        <v>324</v>
      </c>
      <c r="D146" s="58"/>
      <c r="E146" s="58"/>
      <c r="G146"/>
      <c r="H146"/>
      <c r="I146"/>
    </row>
    <row r="147" spans="1:9" s="1" customFormat="1" x14ac:dyDescent="0.25">
      <c r="A147" s="10"/>
      <c r="B147" s="10">
        <v>39905</v>
      </c>
      <c r="C147" s="8" t="s">
        <v>354</v>
      </c>
      <c r="D147" s="58"/>
      <c r="E147" s="58"/>
      <c r="G147"/>
      <c r="H147"/>
      <c r="I147"/>
    </row>
    <row r="148" spans="1:9" s="1" customFormat="1" ht="26.25" x14ac:dyDescent="0.25">
      <c r="A148" s="11"/>
      <c r="B148" s="11">
        <v>4</v>
      </c>
      <c r="C148" s="5" t="s">
        <v>129</v>
      </c>
      <c r="D148" s="63">
        <f>SUM(D149:D159)</f>
        <v>0</v>
      </c>
      <c r="E148" s="63"/>
      <c r="G148"/>
      <c r="H148"/>
      <c r="I148"/>
    </row>
    <row r="149" spans="1:9" s="1" customFormat="1" x14ac:dyDescent="0.25">
      <c r="A149" s="10" t="s">
        <v>255</v>
      </c>
      <c r="B149" s="13">
        <v>41103</v>
      </c>
      <c r="C149" s="14" t="s">
        <v>130</v>
      </c>
      <c r="D149" s="58"/>
      <c r="E149" s="58"/>
      <c r="G149"/>
      <c r="H149"/>
      <c r="I149"/>
    </row>
    <row r="150" spans="1:9" s="1" customFormat="1" ht="30" x14ac:dyDescent="0.25">
      <c r="A150" s="10" t="s">
        <v>256</v>
      </c>
      <c r="B150" s="10">
        <v>41201</v>
      </c>
      <c r="C150" s="8" t="s">
        <v>131</v>
      </c>
      <c r="D150" s="58"/>
      <c r="E150" s="58"/>
      <c r="G150"/>
      <c r="H150"/>
      <c r="I150"/>
    </row>
    <row r="151" spans="1:9" s="1" customFormat="1" ht="30" x14ac:dyDescent="0.25">
      <c r="A151" s="10" t="s">
        <v>257</v>
      </c>
      <c r="B151" s="10">
        <v>41202</v>
      </c>
      <c r="C151" s="8" t="s">
        <v>132</v>
      </c>
      <c r="D151" s="58"/>
      <c r="E151" s="58"/>
      <c r="G151"/>
      <c r="H151"/>
      <c r="I151"/>
    </row>
    <row r="152" spans="1:9" s="1" customFormat="1" x14ac:dyDescent="0.25">
      <c r="A152" s="10"/>
      <c r="B152" s="10">
        <v>41401</v>
      </c>
      <c r="C152" s="8" t="s">
        <v>133</v>
      </c>
      <c r="D152" s="9"/>
      <c r="E152" s="9"/>
      <c r="G152"/>
      <c r="H152"/>
      <c r="I152"/>
    </row>
    <row r="153" spans="1:9" s="1" customFormat="1" x14ac:dyDescent="0.25">
      <c r="A153" s="10" t="s">
        <v>258</v>
      </c>
      <c r="B153" s="10">
        <v>41402</v>
      </c>
      <c r="C153" s="8" t="s">
        <v>134</v>
      </c>
      <c r="D153" s="9"/>
      <c r="E153" s="9"/>
      <c r="G153"/>
      <c r="H153"/>
      <c r="I153"/>
    </row>
    <row r="154" spans="1:9" s="1" customFormat="1" ht="30" x14ac:dyDescent="0.25">
      <c r="A154" s="10"/>
      <c r="B154" s="10">
        <v>41501</v>
      </c>
      <c r="C154" s="8" t="s">
        <v>135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41601</v>
      </c>
      <c r="C155" s="8" t="s">
        <v>136</v>
      </c>
      <c r="D155" s="9"/>
      <c r="E155" s="9"/>
      <c r="G155"/>
      <c r="H155"/>
      <c r="I155"/>
    </row>
    <row r="156" spans="1:9" s="1" customFormat="1" x14ac:dyDescent="0.25">
      <c r="A156" s="10"/>
      <c r="B156" s="10">
        <v>41605</v>
      </c>
      <c r="C156" s="8" t="s">
        <v>312</v>
      </c>
      <c r="D156" s="9"/>
      <c r="E156" s="9"/>
      <c r="G156"/>
      <c r="H156"/>
      <c r="I156"/>
    </row>
    <row r="157" spans="1:9" s="1" customFormat="1" ht="30" x14ac:dyDescent="0.25">
      <c r="A157" s="10"/>
      <c r="B157" s="10">
        <v>421105</v>
      </c>
      <c r="C157" s="8" t="s">
        <v>318</v>
      </c>
      <c r="D157" s="9"/>
      <c r="E157" s="9"/>
      <c r="G157"/>
      <c r="H157"/>
      <c r="I157"/>
    </row>
    <row r="158" spans="1:9" s="1" customFormat="1" ht="30" x14ac:dyDescent="0.25">
      <c r="A158" s="10"/>
      <c r="B158" s="10">
        <v>421903</v>
      </c>
      <c r="C158" s="8" t="s">
        <v>317</v>
      </c>
      <c r="D158" s="9"/>
      <c r="E158" s="9"/>
      <c r="G158"/>
      <c r="H158"/>
      <c r="I158"/>
    </row>
    <row r="159" spans="1:9" s="1" customFormat="1" x14ac:dyDescent="0.25">
      <c r="A159" s="10" t="s">
        <v>259</v>
      </c>
      <c r="B159" s="10">
        <v>44102</v>
      </c>
      <c r="C159" s="8" t="s">
        <v>137</v>
      </c>
      <c r="D159" s="9"/>
      <c r="E159" s="9"/>
      <c r="G159"/>
      <c r="H159"/>
      <c r="I159"/>
    </row>
    <row r="160" spans="1:9" s="1" customFormat="1" x14ac:dyDescent="0.25">
      <c r="A160" s="11"/>
      <c r="B160" s="11">
        <v>62501</v>
      </c>
      <c r="C160" s="15" t="s">
        <v>138</v>
      </c>
      <c r="D160" s="16"/>
      <c r="E160" s="16"/>
      <c r="G160"/>
      <c r="H160"/>
      <c r="I160"/>
    </row>
    <row r="161" spans="1:9" s="1" customFormat="1" x14ac:dyDescent="0.25">
      <c r="A161" s="11"/>
      <c r="B161" s="11" t="s">
        <v>298</v>
      </c>
      <c r="C161" s="15" t="s">
        <v>299</v>
      </c>
      <c r="D161" s="16"/>
      <c r="E161" s="16"/>
      <c r="G161"/>
      <c r="H161"/>
      <c r="I161"/>
    </row>
    <row r="162" spans="1:9" s="1" customFormat="1" x14ac:dyDescent="0.25">
      <c r="A162" s="10"/>
      <c r="B162" s="13"/>
      <c r="C162" s="14" t="s">
        <v>18</v>
      </c>
      <c r="D162" s="17"/>
      <c r="E162" s="18">
        <f>+E9-E16</f>
        <v>859476702.37</v>
      </c>
      <c r="G162"/>
      <c r="H162"/>
      <c r="I162"/>
    </row>
    <row r="163" spans="1:9" s="1" customFormat="1" x14ac:dyDescent="0.25">
      <c r="A163" s="10"/>
      <c r="B163" s="10" t="s">
        <v>142</v>
      </c>
      <c r="C163" s="14"/>
      <c r="D163" s="10"/>
      <c r="E163" s="10"/>
      <c r="G163"/>
      <c r="H163"/>
      <c r="I163"/>
    </row>
    <row r="164" spans="1:9" s="1" customFormat="1" x14ac:dyDescent="0.25">
      <c r="A164" s="10"/>
      <c r="B164" s="10"/>
      <c r="C164" s="14" t="s">
        <v>18</v>
      </c>
      <c r="D164" s="19"/>
      <c r="E164" s="10"/>
      <c r="G164"/>
      <c r="H164"/>
      <c r="I164"/>
    </row>
    <row r="165" spans="1:9" s="1" customFormat="1" x14ac:dyDescent="0.25">
      <c r="A165" s="10"/>
      <c r="B165" s="10"/>
      <c r="C165" s="14" t="s">
        <v>143</v>
      </c>
      <c r="D165" s="10"/>
      <c r="E165" s="19">
        <f>+D164</f>
        <v>0</v>
      </c>
      <c r="G165"/>
      <c r="H165"/>
      <c r="I165"/>
    </row>
    <row r="166" spans="1:9" s="1" customFormat="1" x14ac:dyDescent="0.25">
      <c r="A166" s="10"/>
      <c r="B166" s="10" t="s">
        <v>144</v>
      </c>
      <c r="C166" s="10"/>
      <c r="D166" s="10"/>
      <c r="E166" s="10"/>
      <c r="G166"/>
      <c r="H166"/>
      <c r="I166"/>
    </row>
    <row r="167" spans="1:9" s="1" customFormat="1" x14ac:dyDescent="0.25">
      <c r="A167" s="10"/>
      <c r="B167" s="10"/>
      <c r="C167" s="14" t="s">
        <v>145</v>
      </c>
      <c r="D167" s="19"/>
      <c r="E167" s="10"/>
      <c r="G167"/>
      <c r="H167"/>
      <c r="I167"/>
    </row>
    <row r="168" spans="1:9" s="1" customFormat="1" x14ac:dyDescent="0.25">
      <c r="A168" s="10"/>
      <c r="B168" s="10"/>
      <c r="C168" s="14" t="s">
        <v>143</v>
      </c>
      <c r="D168" s="10"/>
      <c r="E168" s="19">
        <f>+E165</f>
        <v>0</v>
      </c>
      <c r="G168"/>
      <c r="H168"/>
      <c r="I168"/>
    </row>
    <row r="169" spans="1:9" s="1" customFormat="1" x14ac:dyDescent="0.25">
      <c r="A169" s="10"/>
      <c r="B169" s="10" t="s">
        <v>146</v>
      </c>
      <c r="C169" s="10"/>
      <c r="D169" s="10"/>
      <c r="E169" s="10"/>
      <c r="G169"/>
      <c r="H169"/>
      <c r="I169"/>
    </row>
    <row r="170" spans="1:9" s="1" customFormat="1" x14ac:dyDescent="0.25">
      <c r="A170" s="11"/>
      <c r="B170" s="11" t="s">
        <v>147</v>
      </c>
      <c r="C170" s="11"/>
      <c r="D170" s="20">
        <f>+E9-E16</f>
        <v>859476702.37</v>
      </c>
      <c r="E170" s="20">
        <f>+E168</f>
        <v>0</v>
      </c>
      <c r="G170"/>
      <c r="H170"/>
      <c r="I170"/>
    </row>
    <row r="174" spans="1:9" s="1" customFormat="1" x14ac:dyDescent="0.25">
      <c r="A174"/>
      <c r="B174"/>
      <c r="C174"/>
      <c r="D174"/>
      <c r="E174" s="40"/>
      <c r="G174"/>
      <c r="H174"/>
      <c r="I174"/>
    </row>
    <row r="175" spans="1:9" s="1" customFormat="1" x14ac:dyDescent="0.25">
      <c r="A175"/>
      <c r="B175"/>
      <c r="C175"/>
      <c r="D175"/>
      <c r="E175" s="40"/>
      <c r="G175"/>
      <c r="H175"/>
      <c r="I175"/>
    </row>
    <row r="178" spans="1:9" s="1" customFormat="1" ht="26.25" x14ac:dyDescent="0.25">
      <c r="A178" s="25" t="s">
        <v>261</v>
      </c>
      <c r="B178" s="11">
        <v>6</v>
      </c>
      <c r="C178" s="5" t="s">
        <v>148</v>
      </c>
      <c r="D178" s="12">
        <f>SUM(D179:D200)</f>
        <v>0</v>
      </c>
      <c r="E178" s="21"/>
      <c r="G178"/>
      <c r="H178"/>
      <c r="I178"/>
    </row>
    <row r="179" spans="1:9" s="1" customFormat="1" x14ac:dyDescent="0.25">
      <c r="A179" s="29">
        <v>1206010007</v>
      </c>
      <c r="B179" s="10">
        <v>61101</v>
      </c>
      <c r="C179" s="8" t="s">
        <v>10</v>
      </c>
      <c r="D179" s="58"/>
      <c r="E179" s="22"/>
      <c r="G179"/>
      <c r="H179"/>
      <c r="I179"/>
    </row>
    <row r="180" spans="1:9" s="1" customFormat="1" x14ac:dyDescent="0.25">
      <c r="A180" s="29">
        <v>1206010004</v>
      </c>
      <c r="B180" s="10">
        <v>61301</v>
      </c>
      <c r="C180" s="8" t="s">
        <v>149</v>
      </c>
      <c r="D180" s="58"/>
      <c r="E180" s="22"/>
      <c r="G180"/>
      <c r="H180"/>
      <c r="I180"/>
    </row>
    <row r="181" spans="1:9" s="1" customFormat="1" x14ac:dyDescent="0.25">
      <c r="A181" s="29">
        <v>1206010007</v>
      </c>
      <c r="B181" s="10">
        <v>61401</v>
      </c>
      <c r="C181" s="8" t="s">
        <v>4</v>
      </c>
      <c r="D181" s="58"/>
      <c r="E181" s="22"/>
      <c r="G181"/>
      <c r="H181"/>
      <c r="I181"/>
    </row>
    <row r="182" spans="1:9" s="1" customFormat="1" ht="30" x14ac:dyDescent="0.25">
      <c r="A182" s="29">
        <v>1206010001</v>
      </c>
      <c r="B182" s="10">
        <v>61901</v>
      </c>
      <c r="C182" s="8" t="s">
        <v>150</v>
      </c>
      <c r="D182" s="58"/>
      <c r="E182" s="22"/>
      <c r="G182"/>
      <c r="H182"/>
      <c r="I182"/>
    </row>
    <row r="183" spans="1:9" s="1" customFormat="1" x14ac:dyDescent="0.25">
      <c r="A183" s="29">
        <v>1206010002</v>
      </c>
      <c r="B183" s="10">
        <v>62101</v>
      </c>
      <c r="C183" s="8" t="s">
        <v>6</v>
      </c>
      <c r="D183" s="58"/>
      <c r="E183" s="22"/>
      <c r="G183"/>
      <c r="H183"/>
      <c r="I183"/>
    </row>
    <row r="184" spans="1:9" s="1" customFormat="1" x14ac:dyDescent="0.25">
      <c r="A184" s="29">
        <v>1206010002</v>
      </c>
      <c r="B184" s="10">
        <v>62301</v>
      </c>
      <c r="C184" s="8" t="s">
        <v>151</v>
      </c>
      <c r="D184" s="58"/>
      <c r="E184" s="22"/>
      <c r="G184"/>
      <c r="H184"/>
      <c r="I184"/>
    </row>
    <row r="185" spans="1:9" s="1" customFormat="1" x14ac:dyDescent="0.25">
      <c r="A185" s="29"/>
      <c r="B185" s="10">
        <v>63201</v>
      </c>
      <c r="C185" s="8" t="s">
        <v>364</v>
      </c>
      <c r="D185" s="58"/>
      <c r="E185" s="22"/>
      <c r="G185"/>
      <c r="H185"/>
      <c r="I185"/>
    </row>
    <row r="186" spans="1:9" s="1" customFormat="1" ht="30" x14ac:dyDescent="0.25">
      <c r="A186" s="29"/>
      <c r="B186" s="10">
        <v>63401</v>
      </c>
      <c r="C186" s="8" t="s">
        <v>365</v>
      </c>
      <c r="D186" s="58"/>
      <c r="E186" s="22"/>
      <c r="G186"/>
      <c r="H186"/>
      <c r="I186"/>
    </row>
    <row r="187" spans="1:9" s="1" customFormat="1" x14ac:dyDescent="0.25">
      <c r="A187" s="29">
        <v>1206010003</v>
      </c>
      <c r="B187" s="10">
        <v>64101</v>
      </c>
      <c r="C187" s="8" t="s">
        <v>152</v>
      </c>
      <c r="D187" s="58"/>
      <c r="E187" s="22"/>
      <c r="G187"/>
      <c r="H187"/>
      <c r="I187"/>
    </row>
    <row r="188" spans="1:9" s="1" customFormat="1" x14ac:dyDescent="0.25">
      <c r="A188" s="29"/>
      <c r="B188" s="10">
        <v>64601</v>
      </c>
      <c r="C188" s="8" t="s">
        <v>363</v>
      </c>
      <c r="D188" s="58"/>
      <c r="E188" s="22"/>
      <c r="G188"/>
      <c r="H188"/>
      <c r="I188"/>
    </row>
    <row r="189" spans="1:9" s="1" customFormat="1" x14ac:dyDescent="0.25">
      <c r="A189" s="29"/>
      <c r="B189" s="56">
        <v>64701</v>
      </c>
      <c r="C189" s="57" t="s">
        <v>360</v>
      </c>
      <c r="D189" s="58"/>
      <c r="E189" s="22"/>
      <c r="G189"/>
      <c r="H189"/>
      <c r="I189"/>
    </row>
    <row r="190" spans="1:9" s="1" customFormat="1" x14ac:dyDescent="0.25">
      <c r="A190" s="29">
        <v>1206010003</v>
      </c>
      <c r="B190" s="56">
        <v>64801</v>
      </c>
      <c r="C190" s="57" t="s">
        <v>153</v>
      </c>
      <c r="D190" s="58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65201</v>
      </c>
      <c r="C191" s="8" t="s">
        <v>154</v>
      </c>
      <c r="D191" s="58"/>
      <c r="E191" s="22"/>
      <c r="G191"/>
      <c r="H191"/>
      <c r="I191"/>
    </row>
    <row r="192" spans="1:9" s="1" customFormat="1" x14ac:dyDescent="0.25">
      <c r="A192" s="29">
        <v>1206010001</v>
      </c>
      <c r="B192" s="10">
        <v>65401</v>
      </c>
      <c r="C192" s="8" t="s">
        <v>155</v>
      </c>
      <c r="D192" s="58"/>
      <c r="E192" s="22"/>
      <c r="G192"/>
      <c r="H192"/>
      <c r="I192"/>
    </row>
    <row r="193" spans="1:9" s="1" customFormat="1" x14ac:dyDescent="0.25">
      <c r="A193" s="29">
        <v>1206010006</v>
      </c>
      <c r="B193" s="10">
        <v>65501</v>
      </c>
      <c r="C193" s="8" t="s">
        <v>156</v>
      </c>
      <c r="D193" s="58"/>
      <c r="E193" s="22"/>
      <c r="G193"/>
      <c r="H193"/>
      <c r="I193"/>
    </row>
    <row r="194" spans="1:9" s="1" customFormat="1" x14ac:dyDescent="0.25">
      <c r="A194" s="29">
        <v>1206010001</v>
      </c>
      <c r="B194" s="10">
        <v>65601</v>
      </c>
      <c r="C194" s="8" t="s">
        <v>157</v>
      </c>
      <c r="D194" s="58"/>
      <c r="E194" s="22"/>
      <c r="G194"/>
      <c r="H194"/>
      <c r="I194"/>
    </row>
    <row r="195" spans="1:9" s="1" customFormat="1" x14ac:dyDescent="0.25">
      <c r="A195" s="29">
        <v>1206010008</v>
      </c>
      <c r="B195" s="10">
        <v>65701</v>
      </c>
      <c r="C195" s="8" t="s">
        <v>5</v>
      </c>
      <c r="D195" s="58"/>
      <c r="E195" s="22"/>
      <c r="G195"/>
      <c r="H195"/>
      <c r="I195"/>
    </row>
    <row r="196" spans="1:9" s="1" customFormat="1" x14ac:dyDescent="0.25">
      <c r="A196" s="29">
        <v>1206010001</v>
      </c>
      <c r="B196" s="10">
        <v>65801</v>
      </c>
      <c r="C196" s="8" t="s">
        <v>158</v>
      </c>
      <c r="D196" s="58"/>
      <c r="E196" s="22"/>
      <c r="G196"/>
      <c r="H196"/>
      <c r="I196"/>
    </row>
    <row r="197" spans="1:9" s="1" customFormat="1" x14ac:dyDescent="0.25">
      <c r="A197" s="29">
        <v>1206980001</v>
      </c>
      <c r="B197" s="10">
        <v>66201</v>
      </c>
      <c r="C197" s="8" t="s">
        <v>8</v>
      </c>
      <c r="D197" s="58"/>
      <c r="E197" s="22"/>
      <c r="G197"/>
      <c r="H197"/>
      <c r="I197"/>
    </row>
    <row r="198" spans="1:9" s="1" customFormat="1" x14ac:dyDescent="0.25">
      <c r="A198" s="29">
        <v>1208010003</v>
      </c>
      <c r="B198" s="10">
        <v>68301</v>
      </c>
      <c r="C198" s="8" t="s">
        <v>159</v>
      </c>
      <c r="D198" s="58"/>
      <c r="E198" s="22"/>
      <c r="G198"/>
      <c r="H198"/>
      <c r="I198"/>
    </row>
    <row r="199" spans="1:9" s="1" customFormat="1" x14ac:dyDescent="0.25">
      <c r="A199" s="29">
        <v>1206020002</v>
      </c>
      <c r="B199" s="10">
        <v>69201</v>
      </c>
      <c r="C199" s="8" t="s">
        <v>160</v>
      </c>
      <c r="D199" s="9"/>
      <c r="E199" s="22"/>
      <c r="G199"/>
      <c r="H199"/>
      <c r="I199"/>
    </row>
    <row r="200" spans="1:9" s="1" customFormat="1" x14ac:dyDescent="0.25">
      <c r="A200" s="29">
        <v>1206980004</v>
      </c>
      <c r="B200" s="10">
        <v>69502</v>
      </c>
      <c r="C200" s="8" t="s">
        <v>7</v>
      </c>
      <c r="D200" s="9"/>
      <c r="E200" s="22"/>
      <c r="G200"/>
      <c r="H200"/>
      <c r="I200"/>
    </row>
    <row r="201" spans="1:9" s="1" customFormat="1" x14ac:dyDescent="0.25">
      <c r="A201" s="30"/>
      <c r="B201" s="11">
        <v>7</v>
      </c>
      <c r="C201" s="5" t="s">
        <v>139</v>
      </c>
      <c r="D201" s="12">
        <f>SUM(D202:D203)</f>
        <v>0</v>
      </c>
      <c r="E201" s="28"/>
      <c r="G201"/>
      <c r="H201"/>
      <c r="I201"/>
    </row>
    <row r="202" spans="1:9" s="1" customFormat="1" ht="30" x14ac:dyDescent="0.25">
      <c r="A202" s="30" t="s">
        <v>262</v>
      </c>
      <c r="B202" s="13">
        <v>71201</v>
      </c>
      <c r="C202" s="14" t="s">
        <v>140</v>
      </c>
      <c r="D202" s="27"/>
      <c r="E202" s="28"/>
      <c r="G202"/>
      <c r="H202"/>
      <c r="I202"/>
    </row>
    <row r="203" spans="1:9" s="1" customFormat="1" x14ac:dyDescent="0.25">
      <c r="A203" s="30" t="s">
        <v>263</v>
      </c>
      <c r="B203" s="13">
        <v>71501</v>
      </c>
      <c r="C203" s="14" t="s">
        <v>141</v>
      </c>
      <c r="D203" s="27"/>
      <c r="E203" s="28"/>
      <c r="G203"/>
      <c r="H203"/>
      <c r="I203"/>
    </row>
    <row r="204" spans="1:9" s="1" customFormat="1" x14ac:dyDescent="0.25">
      <c r="A204" s="31"/>
      <c r="B204" s="11"/>
      <c r="C204" s="15"/>
      <c r="D204" s="6">
        <f>+D178+D201</f>
        <v>0</v>
      </c>
      <c r="E204" s="21"/>
      <c r="G204"/>
      <c r="H204"/>
      <c r="I204"/>
    </row>
    <row r="205" spans="1:9" s="1" customFormat="1" x14ac:dyDescent="0.25">
      <c r="A205"/>
      <c r="B205"/>
      <c r="C205" s="2" t="s">
        <v>351</v>
      </c>
      <c r="E205" s="23"/>
      <c r="G205"/>
      <c r="H205"/>
      <c r="I205"/>
    </row>
    <row r="206" spans="1:9" s="1" customFormat="1" x14ac:dyDescent="0.25">
      <c r="A206"/>
      <c r="B206"/>
      <c r="C206" s="2" t="s">
        <v>9</v>
      </c>
      <c r="E206" s="23"/>
      <c r="G206"/>
      <c r="H206"/>
      <c r="I206"/>
    </row>
    <row r="207" spans="1:9" s="1" customFormat="1" x14ac:dyDescent="0.25">
      <c r="A207"/>
      <c r="B207"/>
      <c r="C207"/>
      <c r="D207"/>
      <c r="E207" s="24"/>
      <c r="G207"/>
      <c r="H207"/>
      <c r="I207"/>
    </row>
    <row r="208" spans="1:9" s="1" customFormat="1" x14ac:dyDescent="0.25">
      <c r="A208"/>
      <c r="B208"/>
      <c r="C208"/>
      <c r="D208"/>
      <c r="G208"/>
      <c r="H208"/>
      <c r="I208"/>
    </row>
    <row r="209" spans="1:9" s="1" customFormat="1" x14ac:dyDescent="0.25">
      <c r="A209"/>
      <c r="B209"/>
      <c r="C209"/>
      <c r="D209"/>
      <c r="G209"/>
      <c r="H209"/>
      <c r="I209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7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5"/>
  <sheetViews>
    <sheetView tabSelected="1" topLeftCell="A4" zoomScaleNormal="100" workbookViewId="0">
      <selection activeCell="A26" sqref="A26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  <col min="30" max="30" width="18" customWidth="1"/>
  </cols>
  <sheetData>
    <row r="1" spans="1:27" ht="18.75" x14ac:dyDescent="0.3">
      <c r="A1" s="75" t="s">
        <v>266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7" ht="15.75" x14ac:dyDescent="0.25">
      <c r="A2" s="76" t="s">
        <v>313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7" ht="15.7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t="s">
        <v>303</v>
      </c>
    </row>
    <row r="4" spans="1:27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7" x14ac:dyDescent="0.25">
      <c r="A5" t="s">
        <v>267</v>
      </c>
    </row>
    <row r="6" spans="1:27" x14ac:dyDescent="0.25">
      <c r="A6" t="s">
        <v>367</v>
      </c>
    </row>
    <row r="7" spans="1:27" x14ac:dyDescent="0.25">
      <c r="A7" t="s">
        <v>268</v>
      </c>
    </row>
    <row r="8" spans="1:27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307</v>
      </c>
    </row>
    <row r="9" spans="1:27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7" x14ac:dyDescent="0.25">
      <c r="A10" t="s">
        <v>270</v>
      </c>
    </row>
    <row r="11" spans="1:27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64">
        <v>770572393.22000003</v>
      </c>
    </row>
    <row r="12" spans="1:27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64">
        <v>463381706.50999999</v>
      </c>
    </row>
    <row r="13" spans="1:27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10438843.91</v>
      </c>
    </row>
    <row r="14" spans="1:27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7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1244793629.6400001</v>
      </c>
    </row>
    <row r="17" spans="1:27" x14ac:dyDescent="0.25">
      <c r="A17" t="s">
        <v>272</v>
      </c>
    </row>
    <row r="18" spans="1:27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65">
        <v>482236478.54000002</v>
      </c>
    </row>
    <row r="19" spans="1:27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66">
        <v>64681547.780000001</v>
      </c>
    </row>
    <row r="20" spans="1:27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65">
        <v>-145926455.13999999</v>
      </c>
      <c r="AA20" s="67"/>
    </row>
    <row r="21" spans="1:27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65">
        <v>-33040822.530000001</v>
      </c>
      <c r="AA21" s="67"/>
    </row>
    <row r="22" spans="1:27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367950748.6500001</v>
      </c>
    </row>
    <row r="23" spans="1:27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1612744378.2900002</v>
      </c>
    </row>
    <row r="24" spans="1:27" ht="15.75" thickTop="1" x14ac:dyDescent="0.25"/>
    <row r="25" spans="1:27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7" x14ac:dyDescent="0.25">
      <c r="A26" t="s">
        <v>270</v>
      </c>
    </row>
    <row r="27" spans="1:27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7" x14ac:dyDescent="0.25">
      <c r="A28" t="s">
        <v>277</v>
      </c>
    </row>
    <row r="29" spans="1:27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65">
        <v>3723903.3</v>
      </c>
    </row>
    <row r="30" spans="1:27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3723903.3</v>
      </c>
    </row>
    <row r="32" spans="1:27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30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3723903.3</v>
      </c>
      <c r="AD33" s="40"/>
    </row>
    <row r="35" spans="1:30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30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30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30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30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279970059.77999997</v>
      </c>
    </row>
    <row r="40" spans="1:30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1609020474.9899998</v>
      </c>
    </row>
    <row r="41" spans="1:30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1612744378.2899997</v>
      </c>
    </row>
    <row r="42" spans="1:30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30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/>
    </row>
    <row r="44" spans="1:30" x14ac:dyDescent="0.25">
      <c r="A44" s="37" t="s">
        <v>352</v>
      </c>
      <c r="G44" s="1">
        <f>+G41-G23</f>
        <v>0</v>
      </c>
    </row>
    <row r="45" spans="1:30" x14ac:dyDescent="0.25">
      <c r="A45" t="s">
        <v>353</v>
      </c>
    </row>
    <row r="48" spans="1:30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4">
    <mergeCell ref="A1:Z1"/>
    <mergeCell ref="A2:Z2"/>
    <mergeCell ref="A3:Z3"/>
    <mergeCell ref="A4:Z4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5"/>
  <sheetViews>
    <sheetView topLeftCell="A28" zoomScale="142" zoomScaleNormal="142" workbookViewId="0">
      <selection activeCell="AB47" sqref="AB47"/>
    </sheetView>
  </sheetViews>
  <sheetFormatPr baseColWidth="10" defaultRowHeight="15" x14ac:dyDescent="0.25"/>
  <cols>
    <col min="1" max="1" width="61.42578125" customWidth="1"/>
    <col min="2" max="2" width="21.85546875" style="1" hidden="1" customWidth="1"/>
    <col min="3" max="3" width="15.85546875" style="1" hidden="1" customWidth="1"/>
    <col min="4" max="4" width="24" style="1" hidden="1" customWidth="1"/>
    <col min="5" max="8" width="16.7109375" style="1" hidden="1" customWidth="1"/>
    <col min="9" max="9" width="18.42578125" style="1" hidden="1" customWidth="1"/>
    <col min="10" max="11" width="16.7109375" style="1" hidden="1" customWidth="1"/>
    <col min="12" max="12" width="17.85546875" style="1" hidden="1" customWidth="1"/>
    <col min="13" max="13" width="16.7109375" hidden="1" customWidth="1"/>
    <col min="14" max="14" width="16.7109375" style="1" hidden="1" customWidth="1"/>
    <col min="15" max="15" width="16.7109375" hidden="1" customWidth="1"/>
    <col min="16" max="16" width="17.5703125" hidden="1" customWidth="1"/>
    <col min="17" max="17" width="16.140625" style="42" hidden="1" customWidth="1"/>
    <col min="18" max="18" width="16.42578125" hidden="1" customWidth="1"/>
    <col min="19" max="19" width="20" style="42" hidden="1" customWidth="1"/>
    <col min="20" max="20" width="21.140625" style="42" hidden="1" customWidth="1"/>
    <col min="21" max="21" width="21.5703125" hidden="1" customWidth="1"/>
    <col min="22" max="22" width="16.7109375" style="1" hidden="1" customWidth="1"/>
    <col min="23" max="23" width="16.42578125" hidden="1" customWidth="1"/>
    <col min="24" max="25" width="18" hidden="1" customWidth="1"/>
    <col min="26" max="26" width="17.85546875" customWidth="1"/>
  </cols>
  <sheetData>
    <row r="1" spans="1:26" ht="18.75" x14ac:dyDescent="0.3">
      <c r="A1" s="75" t="s">
        <v>266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26" ht="15.75" x14ac:dyDescent="0.25">
      <c r="A2" s="76" t="s">
        <v>313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15.75" x14ac:dyDescent="0.25">
      <c r="A3" s="55"/>
      <c r="B3" s="55"/>
      <c r="C3" s="55"/>
      <c r="D3" s="55"/>
      <c r="E3" s="55"/>
      <c r="F3" s="55"/>
      <c r="G3" s="55"/>
    </row>
    <row r="5" spans="1:26" x14ac:dyDescent="0.25">
      <c r="A5" t="s">
        <v>267</v>
      </c>
    </row>
    <row r="6" spans="1:26" x14ac:dyDescent="0.25">
      <c r="A6" t="s">
        <v>355</v>
      </c>
    </row>
    <row r="7" spans="1:26" x14ac:dyDescent="0.25">
      <c r="A7" t="s">
        <v>268</v>
      </c>
    </row>
    <row r="8" spans="1:26" x14ac:dyDescent="0.25">
      <c r="B8" s="1" t="s">
        <v>294</v>
      </c>
      <c r="C8" s="1" t="s">
        <v>295</v>
      </c>
      <c r="D8" s="1" t="s">
        <v>301</v>
      </c>
      <c r="E8" s="39" t="s">
        <v>305</v>
      </c>
      <c r="F8" s="1" t="s">
        <v>306</v>
      </c>
      <c r="G8" s="1" t="s">
        <v>307</v>
      </c>
      <c r="H8" s="39" t="s">
        <v>308</v>
      </c>
      <c r="I8" s="39" t="s">
        <v>309</v>
      </c>
      <c r="J8" s="39" t="s">
        <v>310</v>
      </c>
      <c r="K8" s="39" t="s">
        <v>314</v>
      </c>
      <c r="L8" s="39" t="s">
        <v>319</v>
      </c>
      <c r="M8" s="39" t="s">
        <v>294</v>
      </c>
      <c r="N8" s="39" t="s">
        <v>295</v>
      </c>
      <c r="O8" s="39" t="s">
        <v>301</v>
      </c>
      <c r="P8" s="39" t="s">
        <v>320</v>
      </c>
      <c r="Q8" s="43" t="s">
        <v>305</v>
      </c>
      <c r="R8" s="39" t="s">
        <v>321</v>
      </c>
      <c r="S8" s="43" t="s">
        <v>322</v>
      </c>
      <c r="T8" s="43" t="s">
        <v>306</v>
      </c>
      <c r="U8" s="43" t="s">
        <v>307</v>
      </c>
      <c r="V8" s="39" t="s">
        <v>308</v>
      </c>
      <c r="W8" s="43" t="s">
        <v>309</v>
      </c>
      <c r="X8" s="43" t="s">
        <v>310</v>
      </c>
      <c r="Y8" s="43" t="s">
        <v>314</v>
      </c>
      <c r="Z8" s="43" t="s">
        <v>295</v>
      </c>
    </row>
    <row r="9" spans="1:26" x14ac:dyDescent="0.25">
      <c r="A9" s="32" t="s">
        <v>269</v>
      </c>
      <c r="B9" s="33"/>
      <c r="C9" s="36"/>
      <c r="D9" s="3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46"/>
      <c r="T9" s="46"/>
      <c r="U9" s="46"/>
      <c r="V9" s="38"/>
      <c r="W9" s="38"/>
      <c r="X9" s="38"/>
      <c r="Y9" s="47"/>
      <c r="Z9" s="47"/>
    </row>
    <row r="10" spans="1:26" x14ac:dyDescent="0.25">
      <c r="A10" t="s">
        <v>270</v>
      </c>
    </row>
    <row r="11" spans="1:26" x14ac:dyDescent="0.25">
      <c r="A11" t="s">
        <v>287</v>
      </c>
      <c r="B11" s="1">
        <f>69757998.57+84035.71+2926283.63+236810.94</f>
        <v>73005128.849999979</v>
      </c>
      <c r="C11" s="1">
        <v>57667986.57</v>
      </c>
      <c r="D11" s="1">
        <v>93253527.049999997</v>
      </c>
      <c r="E11" s="1">
        <f>92909316.88+59222.16+590823.84+5247648.15</f>
        <v>98807011.030000001</v>
      </c>
      <c r="F11" s="1">
        <v>117612554.59</v>
      </c>
      <c r="G11" s="1">
        <v>130050732.51000001</v>
      </c>
      <c r="H11" s="1">
        <v>121059581.20999999</v>
      </c>
      <c r="I11" s="1">
        <f>121304604.91+2925932.07+1260780.92+51196.55</f>
        <v>125542514.44999999</v>
      </c>
      <c r="J11" s="1">
        <v>142232936.38</v>
      </c>
      <c r="K11" s="1">
        <v>120898396.53</v>
      </c>
      <c r="L11" s="1">
        <f>106136127.03+4249949.88+422307.52+50311.55</f>
        <v>110858695.97999999</v>
      </c>
      <c r="M11" s="1">
        <f>143761498.12+2522301.99+987950.37+50016.55</f>
        <v>147321767.03000003</v>
      </c>
      <c r="N11" s="1">
        <v>163379380.47</v>
      </c>
      <c r="O11" s="1">
        <v>153816414.31999999</v>
      </c>
      <c r="P11" s="1">
        <v>430471023.60000002</v>
      </c>
      <c r="Q11" s="44">
        <v>151678101.69</v>
      </c>
      <c r="R11" s="44">
        <v>151678101.69</v>
      </c>
      <c r="S11" s="44">
        <v>151678101.69</v>
      </c>
      <c r="T11" s="42">
        <v>158935843.19</v>
      </c>
      <c r="U11" s="42">
        <v>162520191.84</v>
      </c>
      <c r="V11" s="1">
        <f>180624333.77+1203953.27+1133018.08+3323298.83</f>
        <v>186284603.95000005</v>
      </c>
      <c r="W11" s="1">
        <f>225864351.65+786563.64</f>
        <v>226650915.28999999</v>
      </c>
      <c r="X11" s="1">
        <f>256044213.58+1575654.36+426102.55+6368947.73</f>
        <v>264414918.22000003</v>
      </c>
      <c r="Y11" s="52">
        <f>+'[1]estado de resultado '!D11+'[1]estado de resultado '!D12+'[1]estado de resultado '!D13+'[1]estado de resultado '!D14</f>
        <v>224897220.96000001</v>
      </c>
      <c r="Z11" s="52">
        <v>250459476.69</v>
      </c>
    </row>
    <row r="12" spans="1:26" x14ac:dyDescent="0.25">
      <c r="A12" t="s">
        <v>296</v>
      </c>
      <c r="B12" s="1">
        <v>619880057.63999999</v>
      </c>
      <c r="C12" s="1">
        <v>476034699.83999997</v>
      </c>
      <c r="D12" s="1">
        <v>427726254.67000002</v>
      </c>
      <c r="E12" s="1">
        <v>286460289.68000001</v>
      </c>
      <c r="F12" s="1">
        <v>234861577.71000001</v>
      </c>
      <c r="G12" s="1">
        <v>163269736.56</v>
      </c>
      <c r="H12" s="1">
        <v>145331462.75999999</v>
      </c>
      <c r="I12" s="1">
        <v>90442892.670000002</v>
      </c>
      <c r="J12" s="1">
        <v>49366885.090000004</v>
      </c>
      <c r="K12" s="1">
        <v>10300774.060000001</v>
      </c>
      <c r="L12" s="1">
        <v>913665396</v>
      </c>
      <c r="M12" s="1">
        <v>612104225.76999998</v>
      </c>
      <c r="N12" s="1">
        <v>627880480.42999995</v>
      </c>
      <c r="O12" s="1">
        <v>455645131.50999999</v>
      </c>
      <c r="P12" s="1">
        <v>152971262.44999999</v>
      </c>
      <c r="Q12" s="44">
        <v>311183378.72000003</v>
      </c>
      <c r="R12" s="44">
        <v>311183378.72000003</v>
      </c>
      <c r="S12" s="44">
        <v>311183378.72000003</v>
      </c>
      <c r="T12" s="42">
        <v>271653250.24000001</v>
      </c>
      <c r="U12" s="42">
        <v>256793674.97</v>
      </c>
      <c r="V12" s="1">
        <v>216279148.63999999</v>
      </c>
      <c r="W12" s="42">
        <v>146451390.81999999</v>
      </c>
      <c r="X12" s="42">
        <v>148382021.59999999</v>
      </c>
      <c r="Y12" s="53">
        <v>106546312.11</v>
      </c>
      <c r="Z12" s="40">
        <v>735656618.03999996</v>
      </c>
    </row>
    <row r="13" spans="1:26" x14ac:dyDescent="0.25">
      <c r="A13" t="s">
        <v>328</v>
      </c>
      <c r="M13" s="1"/>
      <c r="O13" s="1"/>
      <c r="P13" s="1"/>
      <c r="Q13" s="44"/>
      <c r="R13" s="44"/>
      <c r="S13" s="44"/>
      <c r="U13" s="42"/>
      <c r="V13" s="1">
        <v>11261035.18</v>
      </c>
      <c r="W13" s="1">
        <v>13426803.029999999</v>
      </c>
      <c r="X13" s="1">
        <v>11290856.890000001</v>
      </c>
      <c r="Y13" s="54">
        <v>12031380.289999999</v>
      </c>
      <c r="Z13" s="60">
        <v>31192468.52</v>
      </c>
    </row>
    <row r="14" spans="1:26" x14ac:dyDescent="0.25">
      <c r="A14" t="s">
        <v>329</v>
      </c>
      <c r="M14" s="1"/>
      <c r="O14" s="1"/>
      <c r="P14" s="1"/>
      <c r="Q14" s="44"/>
      <c r="R14" s="44"/>
      <c r="S14" s="44"/>
      <c r="U14" s="42"/>
      <c r="V14" s="1">
        <f>2657*57.2</f>
        <v>151980.4</v>
      </c>
      <c r="W14" s="1">
        <f>10038*57.2</f>
        <v>574173.6</v>
      </c>
      <c r="X14" s="1">
        <f>7005*57.2</f>
        <v>400686</v>
      </c>
      <c r="Y14" s="52">
        <f>+X14</f>
        <v>400686</v>
      </c>
      <c r="Z14" s="52">
        <f>+Y14</f>
        <v>400686</v>
      </c>
    </row>
    <row r="15" spans="1:26" x14ac:dyDescent="0.25">
      <c r="A15" s="32" t="s">
        <v>271</v>
      </c>
      <c r="B15" s="33">
        <f t="shared" ref="B15:G15" si="0">SUM(B11:B12)</f>
        <v>692885186.49000001</v>
      </c>
      <c r="C15" s="33">
        <f t="shared" si="0"/>
        <v>533702686.40999997</v>
      </c>
      <c r="D15" s="33">
        <f t="shared" si="0"/>
        <v>520979781.72000003</v>
      </c>
      <c r="E15" s="33">
        <f t="shared" si="0"/>
        <v>385267300.71000004</v>
      </c>
      <c r="F15" s="33">
        <f t="shared" si="0"/>
        <v>352474132.30000001</v>
      </c>
      <c r="G15" s="33">
        <f t="shared" si="0"/>
        <v>293320469.06999999</v>
      </c>
      <c r="H15" s="33">
        <f t="shared" ref="H15:M15" si="1">SUM(H11:H12)</f>
        <v>266391043.96999997</v>
      </c>
      <c r="I15" s="33">
        <f t="shared" si="1"/>
        <v>215985407.12</v>
      </c>
      <c r="J15" s="33">
        <f t="shared" si="1"/>
        <v>191599821.47</v>
      </c>
      <c r="K15" s="33">
        <f t="shared" si="1"/>
        <v>131199170.59</v>
      </c>
      <c r="L15" s="33">
        <f t="shared" si="1"/>
        <v>1024524091.98</v>
      </c>
      <c r="M15" s="33">
        <f t="shared" si="1"/>
        <v>759425992.79999995</v>
      </c>
      <c r="N15" s="33">
        <v>791259860.89999998</v>
      </c>
      <c r="O15" s="33">
        <f t="shared" ref="O15:U15" si="2">SUM(O11:O12)</f>
        <v>609461545.82999992</v>
      </c>
      <c r="P15" s="33">
        <f t="shared" si="2"/>
        <v>583442286.04999995</v>
      </c>
      <c r="Q15" s="45">
        <f t="shared" si="2"/>
        <v>462861480.41000003</v>
      </c>
      <c r="R15" s="45">
        <f t="shared" si="2"/>
        <v>462861480.41000003</v>
      </c>
      <c r="S15" s="45">
        <f t="shared" si="2"/>
        <v>462861480.41000003</v>
      </c>
      <c r="T15" s="45">
        <f t="shared" si="2"/>
        <v>430589093.43000001</v>
      </c>
      <c r="U15" s="45">
        <f t="shared" si="2"/>
        <v>419313866.81</v>
      </c>
      <c r="V15" s="45">
        <f>SUM(V11:V14)</f>
        <v>413976768.17000002</v>
      </c>
      <c r="W15" s="45">
        <f>SUM(W11:W14)</f>
        <v>387103282.74000001</v>
      </c>
      <c r="X15" s="45">
        <f>SUM(X11:X14)</f>
        <v>424488482.71000004</v>
      </c>
      <c r="Y15" s="45">
        <f>SUM(Y11:Y14)</f>
        <v>343875599.36000001</v>
      </c>
      <c r="Z15" s="45">
        <f>SUM(Z11:Z14)</f>
        <v>1017709249.25</v>
      </c>
    </row>
    <row r="17" spans="1:26" x14ac:dyDescent="0.25">
      <c r="A17" t="s">
        <v>272</v>
      </c>
    </row>
    <row r="18" spans="1:26" x14ac:dyDescent="0.25">
      <c r="A18" t="s">
        <v>273</v>
      </c>
      <c r="B18" s="1">
        <f>30524129.73+64906755.23+3140052.14+42542180+64450000+27968.05+36969866.2+3878193.97+8323231.98+122981.29+1883352.73+595000</f>
        <v>257363711.31999999</v>
      </c>
      <c r="C18" s="1">
        <v>257363711.31999999</v>
      </c>
      <c r="D18" s="1">
        <v>240000074.44</v>
      </c>
      <c r="E18" s="1">
        <f>290616546.53-32255478.69-1000000</f>
        <v>257361067.83999997</v>
      </c>
      <c r="F18" s="1">
        <f>152445451.84+42542180+48750000+15700000</f>
        <v>259437631.84</v>
      </c>
      <c r="G18" s="1">
        <f>152370283.84+48750000+42542180+15700000</f>
        <v>259362463.84</v>
      </c>
      <c r="H18" s="1">
        <f>152370283.84+15700000+42542180+48750000</f>
        <v>259362463.84</v>
      </c>
      <c r="I18" s="1">
        <f>164435432.35+48750000+15700000+42542180</f>
        <v>271427612.35000002</v>
      </c>
      <c r="J18" s="1">
        <v>275473816.11000001</v>
      </c>
      <c r="K18" s="1">
        <f>151195810.71+42542180+15700000+48750000</f>
        <v>258187990.71000001</v>
      </c>
      <c r="L18" s="1">
        <v>299094185.77999997</v>
      </c>
      <c r="M18" s="1">
        <f>209383831.18+15700000+42542180+48750000</f>
        <v>316376011.18000001</v>
      </c>
      <c r="N18" s="1">
        <v>316376011.18000001</v>
      </c>
      <c r="O18" s="1">
        <v>316376011.18000001</v>
      </c>
      <c r="P18" s="1">
        <f>209383831.18+42542180+15700000+48750000+4224535.1</f>
        <v>320600546.28000003</v>
      </c>
      <c r="Q18" s="42">
        <f>195898345.75+15700000+42542180+48750000</f>
        <v>302890525.75</v>
      </c>
      <c r="R18" s="42">
        <f>195898345.75+15700000+42542180+48750000</f>
        <v>302890525.75</v>
      </c>
      <c r="S18" s="42">
        <v>320176351.14999998</v>
      </c>
      <c r="T18" s="42">
        <v>320176351.14999998</v>
      </c>
      <c r="U18" s="1">
        <f>190511154.2+15700000+42542180+48750000</f>
        <v>297503334.19999999</v>
      </c>
      <c r="V18" s="1">
        <v>494056614.22000003</v>
      </c>
      <c r="W18" s="42">
        <v>494901478.31999999</v>
      </c>
      <c r="X18" s="42">
        <v>495066478.31999999</v>
      </c>
      <c r="Y18" s="42">
        <v>494366478.31999999</v>
      </c>
      <c r="Z18" s="42">
        <f>192506714.8+15700000+51400000+48750000+171585000</f>
        <v>479941714.80000001</v>
      </c>
    </row>
    <row r="19" spans="1:26" x14ac:dyDescent="0.25">
      <c r="A19" t="s">
        <v>274</v>
      </c>
      <c r="B19" s="1">
        <f>32255478.69+1000000</f>
        <v>33255478.690000001</v>
      </c>
      <c r="C19" s="1">
        <f>32255478.69+1000000</f>
        <v>33255478.690000001</v>
      </c>
      <c r="D19" s="1">
        <f>30567461.77+1000000</f>
        <v>31567461.77</v>
      </c>
      <c r="E19" s="1">
        <f>32255478.69+1000000</f>
        <v>33255478.690000001</v>
      </c>
      <c r="F19" s="1">
        <v>33299964.690000001</v>
      </c>
      <c r="G19" s="1">
        <f>32299964.69+1000000</f>
        <v>33299964.690000001</v>
      </c>
      <c r="H19" s="1">
        <f>32299964.69+1000000</f>
        <v>33299964.690000001</v>
      </c>
      <c r="I19" s="1">
        <f>32299964.69+1400000</f>
        <v>33699964.689999998</v>
      </c>
      <c r="J19" s="1">
        <v>33699964.689999998</v>
      </c>
      <c r="K19" s="1">
        <f>30611947.77+1400000</f>
        <v>32011947.77</v>
      </c>
      <c r="L19" s="1">
        <v>32011947.77</v>
      </c>
      <c r="M19" s="1">
        <f>32299964.69+1400000</f>
        <v>33699964.689999998</v>
      </c>
      <c r="N19" s="1">
        <v>33699964.689999998</v>
      </c>
      <c r="O19" s="1">
        <v>33699964.689999998</v>
      </c>
      <c r="P19" s="1">
        <f>32299964.69+1400000</f>
        <v>33699964.689999998</v>
      </c>
      <c r="Q19" s="42">
        <f>63281547.78+1400000</f>
        <v>64681547.780000001</v>
      </c>
      <c r="R19" s="42">
        <f>63281547.78+1400000</f>
        <v>64681547.780000001</v>
      </c>
      <c r="S19" s="42">
        <f>64969564.7+1400000</f>
        <v>66369564.700000003</v>
      </c>
      <c r="T19" s="42">
        <v>66369564.700000003</v>
      </c>
      <c r="U19" s="1">
        <f>63281547.78+1400000</f>
        <v>64681547.780000001</v>
      </c>
      <c r="V19" s="1">
        <f>64969564.7+1400000</f>
        <v>66369564.700000003</v>
      </c>
      <c r="W19" s="1">
        <v>66369564.700000003</v>
      </c>
      <c r="X19" s="1">
        <v>66369564.700000003</v>
      </c>
      <c r="Y19" s="1">
        <v>133129913.56999999</v>
      </c>
      <c r="Z19" s="1">
        <v>64681547.780000001</v>
      </c>
    </row>
    <row r="20" spans="1:26" x14ac:dyDescent="0.25">
      <c r="A20" t="s">
        <v>292</v>
      </c>
      <c r="B20" s="1">
        <v>-103400591</v>
      </c>
      <c r="C20" s="1">
        <v>-103250599.78</v>
      </c>
      <c r="D20" s="1">
        <v>-90526869.519999996</v>
      </c>
      <c r="E20" s="1">
        <f>-(123528927.4-15988850.42+3278686.69+9434663.33)</f>
        <v>-120253427</v>
      </c>
      <c r="F20" s="1">
        <f>-(109019310.54+3285586.26+9504549.72)</f>
        <v>-121809446.52000001</v>
      </c>
      <c r="G20" s="1">
        <f>-(110322844.47+3292485.83+9574436.12)</f>
        <v>-123189766.42</v>
      </c>
      <c r="H20" s="1">
        <v>-124635007.56</v>
      </c>
      <c r="I20" s="1">
        <f>-(113021689.97+3306284.98+9714208.91)</f>
        <v>-126042183.86</v>
      </c>
      <c r="J20" s="1">
        <v>-127448717.88</v>
      </c>
      <c r="K20" s="1">
        <f>-98384603.63-3320084.12-9853981.7</f>
        <v>-111558669.45</v>
      </c>
      <c r="L20" s="1">
        <v>-114155155.84999999</v>
      </c>
      <c r="M20" s="1">
        <v>-134735001.66999999</v>
      </c>
      <c r="N20" s="1">
        <v>-151771128.52000001</v>
      </c>
      <c r="O20" s="1">
        <v>-151771128.52000001</v>
      </c>
      <c r="P20" s="1">
        <v>-151771128.52000001</v>
      </c>
      <c r="Q20" s="42">
        <v>-136688810.91999999</v>
      </c>
      <c r="R20" s="42">
        <v>-136688810.91999999</v>
      </c>
      <c r="S20" s="42">
        <v>-156283854.59</v>
      </c>
      <c r="T20" s="42">
        <v>-187530431.53</v>
      </c>
      <c r="U20" s="42">
        <v>-167820107.84</v>
      </c>
      <c r="V20" s="1">
        <v>-141772731.58000001</v>
      </c>
      <c r="W20" s="42">
        <v>-143624453.90000001</v>
      </c>
      <c r="X20" s="42">
        <v>-145378788.19</v>
      </c>
      <c r="Y20" s="42">
        <v>-147438400.68000001</v>
      </c>
      <c r="Z20" s="42">
        <v>-136943828.74000001</v>
      </c>
    </row>
    <row r="21" spans="1:26" x14ac:dyDescent="0.25">
      <c r="A21" t="s">
        <v>293</v>
      </c>
      <c r="B21" s="1">
        <v>-13542123.310000001</v>
      </c>
      <c r="C21" s="1">
        <v>-14520814.16</v>
      </c>
      <c r="D21" s="1">
        <v>-13322142.66</v>
      </c>
      <c r="E21" s="1">
        <v>-15988850.42</v>
      </c>
      <c r="F21" s="1">
        <v>-16480420.1</v>
      </c>
      <c r="G21" s="1">
        <v>-16969765.52</v>
      </c>
      <c r="H21" s="1">
        <v>-17459110.940000001</v>
      </c>
      <c r="I21" s="1">
        <v>-17948456.359999999</v>
      </c>
      <c r="J21" s="1">
        <v>-18437801.780000001</v>
      </c>
      <c r="K21" s="1">
        <v>-17239130.289999999</v>
      </c>
      <c r="L21" s="1">
        <v>-17732924.210000001</v>
      </c>
      <c r="M21" s="1">
        <v>-19896432.640000001</v>
      </c>
      <c r="N21" s="1">
        <v>-21296306.949999999</v>
      </c>
      <c r="O21" s="1">
        <v>-21296306.949999999</v>
      </c>
      <c r="P21" s="1">
        <v>-21296306.949999999</v>
      </c>
      <c r="Q21" s="42">
        <v>-20075161.93</v>
      </c>
      <c r="R21" s="42">
        <v>-20075161.93</v>
      </c>
      <c r="S21" s="42">
        <v>-23319037.390000001</v>
      </c>
      <c r="T21" s="42">
        <v>-23319037.390000001</v>
      </c>
      <c r="U21" s="42">
        <v>-22097892.379999999</v>
      </c>
      <c r="V21" s="1">
        <v>-24231410.600000001</v>
      </c>
      <c r="W21" s="42">
        <v>-26854885.170000002</v>
      </c>
      <c r="X21" s="42">
        <v>-27300386.460000001</v>
      </c>
      <c r="Y21" s="42">
        <v>-28834874.399999999</v>
      </c>
      <c r="Z21" s="42">
        <v>-29549062.699999999</v>
      </c>
    </row>
    <row r="22" spans="1:26" x14ac:dyDescent="0.25">
      <c r="A22" s="32" t="s">
        <v>275</v>
      </c>
      <c r="B22" s="33">
        <f t="shared" ref="B22:G22" si="3">SUM(B18:B21)</f>
        <v>173676475.69999999</v>
      </c>
      <c r="C22" s="33">
        <f t="shared" si="3"/>
        <v>172847776.06999999</v>
      </c>
      <c r="D22" s="33">
        <f t="shared" si="3"/>
        <v>167718524.03</v>
      </c>
      <c r="E22" s="33">
        <f t="shared" si="3"/>
        <v>154374269.10999998</v>
      </c>
      <c r="F22" s="33">
        <f t="shared" si="3"/>
        <v>154447729.91000003</v>
      </c>
      <c r="G22" s="33">
        <f t="shared" si="3"/>
        <v>152502896.59</v>
      </c>
      <c r="H22" s="33">
        <f t="shared" ref="H22:M22" si="4">SUM(H18:H21)</f>
        <v>150568310.03000003</v>
      </c>
      <c r="I22" s="33">
        <f t="shared" si="4"/>
        <v>161136936.81999999</v>
      </c>
      <c r="J22" s="33">
        <f t="shared" si="4"/>
        <v>163287261.14000002</v>
      </c>
      <c r="K22" s="33">
        <f t="shared" si="4"/>
        <v>161402138.74000004</v>
      </c>
      <c r="L22" s="33">
        <f t="shared" si="4"/>
        <v>199218053.48999995</v>
      </c>
      <c r="M22" s="33">
        <f t="shared" si="4"/>
        <v>195444541.56</v>
      </c>
      <c r="N22" s="33">
        <v>177008540.40000001</v>
      </c>
      <c r="O22" s="33">
        <f t="shared" ref="O22:W22" si="5">SUM(O18:O21)</f>
        <v>177008540.40000001</v>
      </c>
      <c r="P22" s="33">
        <f t="shared" si="5"/>
        <v>181233075.50000003</v>
      </c>
      <c r="Q22" s="33">
        <f t="shared" si="5"/>
        <v>210808100.67999998</v>
      </c>
      <c r="R22" s="33">
        <f t="shared" si="5"/>
        <v>210808100.67999998</v>
      </c>
      <c r="S22" s="33">
        <f t="shared" si="5"/>
        <v>206943023.86999995</v>
      </c>
      <c r="T22" s="33">
        <f t="shared" si="5"/>
        <v>175696446.92999995</v>
      </c>
      <c r="U22" s="33">
        <f t="shared" si="5"/>
        <v>172266881.76000002</v>
      </c>
      <c r="V22" s="33">
        <f t="shared" si="5"/>
        <v>394422036.74000001</v>
      </c>
      <c r="W22" s="33">
        <f t="shared" si="5"/>
        <v>390791703.94999999</v>
      </c>
      <c r="X22" s="33">
        <f>SUM(X18:X21)</f>
        <v>388756868.37</v>
      </c>
      <c r="Y22" s="33">
        <f>SUM(Y18:Y21)</f>
        <v>451223116.81</v>
      </c>
      <c r="Z22" s="33">
        <f>SUM(Z18:Z21)</f>
        <v>378130371.14000005</v>
      </c>
    </row>
    <row r="23" spans="1:26" ht="15.75" thickBot="1" x14ac:dyDescent="0.3">
      <c r="A23" s="32" t="s">
        <v>288</v>
      </c>
      <c r="B23" s="34">
        <f t="shared" ref="B23:M23" si="6">+B15+B22</f>
        <v>866561662.19000006</v>
      </c>
      <c r="C23" s="34">
        <f t="shared" si="6"/>
        <v>706550462.48000002</v>
      </c>
      <c r="D23" s="34">
        <f t="shared" si="6"/>
        <v>688698305.75</v>
      </c>
      <c r="E23" s="34">
        <f t="shared" si="6"/>
        <v>539641569.82000005</v>
      </c>
      <c r="F23" s="34">
        <f t="shared" si="6"/>
        <v>506921862.21000004</v>
      </c>
      <c r="G23" s="34">
        <f t="shared" si="6"/>
        <v>445823365.65999997</v>
      </c>
      <c r="H23" s="34">
        <f t="shared" si="6"/>
        <v>416959354</v>
      </c>
      <c r="I23" s="34">
        <f t="shared" si="6"/>
        <v>377122343.94</v>
      </c>
      <c r="J23" s="34">
        <f t="shared" si="6"/>
        <v>354887082.61000001</v>
      </c>
      <c r="K23" s="34">
        <f t="shared" si="6"/>
        <v>292601309.33000004</v>
      </c>
      <c r="L23" s="34">
        <f t="shared" si="6"/>
        <v>1223742145.47</v>
      </c>
      <c r="M23" s="34">
        <f t="shared" si="6"/>
        <v>954870534.3599999</v>
      </c>
      <c r="N23" s="34">
        <v>968268401.29999995</v>
      </c>
      <c r="O23" s="34">
        <f t="shared" ref="O23:Z23" si="7">+O15+O22</f>
        <v>786470086.2299999</v>
      </c>
      <c r="P23" s="34">
        <f t="shared" si="7"/>
        <v>764675361.54999995</v>
      </c>
      <c r="Q23" s="34">
        <f t="shared" si="7"/>
        <v>673669581.09000003</v>
      </c>
      <c r="R23" s="34">
        <f t="shared" si="7"/>
        <v>673669581.09000003</v>
      </c>
      <c r="S23" s="34">
        <f t="shared" si="7"/>
        <v>669804504.27999997</v>
      </c>
      <c r="T23" s="34">
        <f t="shared" si="7"/>
        <v>606285540.3599999</v>
      </c>
      <c r="U23" s="34">
        <f t="shared" si="7"/>
        <v>591580748.57000005</v>
      </c>
      <c r="V23" s="34">
        <f t="shared" si="7"/>
        <v>808398804.91000009</v>
      </c>
      <c r="W23" s="34">
        <f t="shared" si="7"/>
        <v>777894986.69000006</v>
      </c>
      <c r="X23" s="34">
        <f t="shared" si="7"/>
        <v>813245351.08000004</v>
      </c>
      <c r="Y23" s="34">
        <f t="shared" si="7"/>
        <v>795098716.17000008</v>
      </c>
      <c r="Z23" s="34">
        <f t="shared" si="7"/>
        <v>1395839620.3900001</v>
      </c>
    </row>
    <row r="24" spans="1:26" ht="15.75" thickTop="1" x14ac:dyDescent="0.25"/>
    <row r="25" spans="1:26" x14ac:dyDescent="0.25">
      <c r="A25" s="32" t="s">
        <v>276</v>
      </c>
      <c r="B25" s="32" t="s">
        <v>276</v>
      </c>
      <c r="C25" s="32" t="s">
        <v>276</v>
      </c>
      <c r="D25" s="32" t="s">
        <v>276</v>
      </c>
      <c r="E25" s="32" t="s">
        <v>276</v>
      </c>
      <c r="F25" s="32" t="s">
        <v>276</v>
      </c>
      <c r="G25" s="32" t="s">
        <v>276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x14ac:dyDescent="0.25">
      <c r="A26" t="s">
        <v>270</v>
      </c>
    </row>
    <row r="27" spans="1:26" x14ac:dyDescent="0.25">
      <c r="A27" t="s">
        <v>300</v>
      </c>
      <c r="C27" s="1">
        <v>10185.9</v>
      </c>
      <c r="D27" s="1">
        <v>3019.24</v>
      </c>
      <c r="E27" s="1">
        <v>1473.41</v>
      </c>
      <c r="F27" s="1">
        <v>23181.26</v>
      </c>
      <c r="G27" s="1">
        <v>3479.86</v>
      </c>
      <c r="H27" s="1">
        <v>26716.93</v>
      </c>
      <c r="I27" s="1">
        <f>3479.86+26716.93</f>
        <v>30196.79</v>
      </c>
      <c r="J27" s="1">
        <v>20210.099999999999</v>
      </c>
      <c r="K27" s="1">
        <v>6104.05</v>
      </c>
      <c r="L27" s="1">
        <f>6105.05+20210.11</f>
        <v>26315.16</v>
      </c>
      <c r="M27" s="1">
        <v>13389.5</v>
      </c>
      <c r="N27" s="1">
        <v>5007.7299999999996</v>
      </c>
      <c r="O27" s="1">
        <f>5007.73+3605.31</f>
        <v>8613.0399999999991</v>
      </c>
      <c r="P27" s="1">
        <f>5007.73+3605.31</f>
        <v>8613.0399999999991</v>
      </c>
      <c r="Q27" s="42">
        <f>+P27+8194.68</f>
        <v>16807.72</v>
      </c>
      <c r="R27" s="1">
        <v>16807.72</v>
      </c>
      <c r="S27" s="42">
        <v>16807.72</v>
      </c>
      <c r="T27" s="42">
        <v>10947.05</v>
      </c>
      <c r="U27" s="1">
        <f>9307.74+4081.76+3534.17+573.91+1860.13+3031.4+1473.56+6547.74+4362.65+3587.5</f>
        <v>38360.560000000005</v>
      </c>
      <c r="V27" s="1">
        <v>23245.29</v>
      </c>
      <c r="W27" s="1">
        <v>9532.67</v>
      </c>
      <c r="X27" s="1">
        <v>4538.8900000000003</v>
      </c>
      <c r="Y27" s="40">
        <f>+X27+66125.44</f>
        <v>70664.33</v>
      </c>
    </row>
    <row r="28" spans="1:26" x14ac:dyDescent="0.25">
      <c r="A28" t="s">
        <v>277</v>
      </c>
    </row>
    <row r="29" spans="1:26" x14ac:dyDescent="0.25">
      <c r="A29" t="s">
        <v>278</v>
      </c>
      <c r="B29" s="1">
        <f>36653716.45-26136</f>
        <v>36627580.450000003</v>
      </c>
      <c r="C29" s="1">
        <v>33181030.43</v>
      </c>
      <c r="D29" s="1">
        <v>26560381.809999999</v>
      </c>
      <c r="E29" s="1">
        <v>29104440.280000001</v>
      </c>
      <c r="F29" s="1">
        <v>10437782.42</v>
      </c>
      <c r="G29" s="1">
        <f>5689366.68+498219.4</f>
        <v>6187586.0800000001</v>
      </c>
      <c r="H29" s="1">
        <v>8887593.8499999996</v>
      </c>
      <c r="I29" s="1">
        <v>12148885.01</v>
      </c>
      <c r="J29" s="1">
        <v>17193902.73</v>
      </c>
      <c r="K29" s="1">
        <v>43103518.579999998</v>
      </c>
      <c r="L29" s="1">
        <v>44308473.280000001</v>
      </c>
      <c r="M29" s="1">
        <v>22857185.100000001</v>
      </c>
      <c r="N29" s="1">
        <v>3402866.97</v>
      </c>
      <c r="O29" s="1">
        <v>4467862.1100000003</v>
      </c>
      <c r="P29" s="1">
        <v>49163062.079999998</v>
      </c>
      <c r="Q29" s="44">
        <v>14357441.48</v>
      </c>
      <c r="R29" s="1">
        <v>6520747.5499999998</v>
      </c>
      <c r="S29" s="42">
        <v>6520747.5499999998</v>
      </c>
      <c r="T29" s="42">
        <v>82858829.670000002</v>
      </c>
      <c r="U29" s="42">
        <v>75184549.950000003</v>
      </c>
      <c r="V29" s="1">
        <v>70060366.930000007</v>
      </c>
      <c r="W29" s="42">
        <v>70773103.170000002</v>
      </c>
      <c r="X29" s="42">
        <v>177779762.05000001</v>
      </c>
      <c r="Y29" s="42">
        <v>112066830.15000001</v>
      </c>
      <c r="Z29" s="42">
        <v>69335083.739999995</v>
      </c>
    </row>
    <row r="30" spans="1:26" x14ac:dyDescent="0.25">
      <c r="A30" s="32" t="s">
        <v>279</v>
      </c>
      <c r="B30" s="33">
        <f>+B29</f>
        <v>36627580.450000003</v>
      </c>
      <c r="C30" s="33">
        <f>+C27+C29</f>
        <v>33191216.329999998</v>
      </c>
      <c r="D30" s="33">
        <f>+D27+D29</f>
        <v>26563401.049999997</v>
      </c>
      <c r="E30" s="33">
        <f>+E27+E29</f>
        <v>29105913.690000001</v>
      </c>
      <c r="F30" s="33">
        <f t="shared" ref="F30:V30" si="8">+F29+F27</f>
        <v>10460963.68</v>
      </c>
      <c r="G30" s="33">
        <f t="shared" si="8"/>
        <v>6191065.9400000004</v>
      </c>
      <c r="H30" s="33">
        <f t="shared" si="8"/>
        <v>8914310.7799999993</v>
      </c>
      <c r="I30" s="33">
        <f t="shared" si="8"/>
        <v>12179081.799999999</v>
      </c>
      <c r="J30" s="33">
        <f t="shared" si="8"/>
        <v>17214112.830000002</v>
      </c>
      <c r="K30" s="33">
        <f t="shared" si="8"/>
        <v>43109622.629999995</v>
      </c>
      <c r="L30" s="33">
        <f t="shared" si="8"/>
        <v>44334788.439999998</v>
      </c>
      <c r="M30" s="33">
        <f t="shared" si="8"/>
        <v>22870574.600000001</v>
      </c>
      <c r="N30" s="33">
        <v>3407874.7</v>
      </c>
      <c r="O30" s="33">
        <f t="shared" si="8"/>
        <v>4476475.1500000004</v>
      </c>
      <c r="P30" s="33">
        <f t="shared" si="8"/>
        <v>49171675.119999997</v>
      </c>
      <c r="Q30" s="33">
        <f t="shared" si="8"/>
        <v>14374249.200000001</v>
      </c>
      <c r="R30" s="33">
        <f t="shared" si="8"/>
        <v>6537555.2699999996</v>
      </c>
      <c r="S30" s="33">
        <f t="shared" si="8"/>
        <v>6537555.2699999996</v>
      </c>
      <c r="T30" s="33">
        <f t="shared" si="8"/>
        <v>82869776.719999999</v>
      </c>
      <c r="U30" s="33">
        <f t="shared" si="8"/>
        <v>75222910.510000005</v>
      </c>
      <c r="V30" s="33">
        <f t="shared" si="8"/>
        <v>70083612.220000014</v>
      </c>
      <c r="W30" s="33">
        <f>+W29+W27</f>
        <v>70782635.840000004</v>
      </c>
      <c r="X30" s="33">
        <f>+X29+X27</f>
        <v>177784300.94</v>
      </c>
      <c r="Y30" s="33">
        <f>+Y29+Y27</f>
        <v>112137494.48</v>
      </c>
      <c r="Z30" s="33">
        <f>+Z29+Z27</f>
        <v>69335083.739999995</v>
      </c>
    </row>
    <row r="32" spans="1:26" x14ac:dyDescent="0.25">
      <c r="A32" s="32" t="s">
        <v>280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25">
      <c r="A33" s="32" t="s">
        <v>281</v>
      </c>
      <c r="B33" s="33">
        <f t="shared" ref="B33:M33" si="9">+B30+B32</f>
        <v>36627580.450000003</v>
      </c>
      <c r="C33" s="33">
        <f t="shared" si="9"/>
        <v>33191216.329999998</v>
      </c>
      <c r="D33" s="33">
        <f t="shared" si="9"/>
        <v>26563401.049999997</v>
      </c>
      <c r="E33" s="33">
        <f t="shared" si="9"/>
        <v>29105913.690000001</v>
      </c>
      <c r="F33" s="33">
        <f t="shared" si="9"/>
        <v>10460963.68</v>
      </c>
      <c r="G33" s="33">
        <f t="shared" si="9"/>
        <v>6191065.9400000004</v>
      </c>
      <c r="H33" s="33">
        <f t="shared" si="9"/>
        <v>8914310.7799999993</v>
      </c>
      <c r="I33" s="33">
        <f t="shared" si="9"/>
        <v>12179081.799999999</v>
      </c>
      <c r="J33" s="33">
        <f t="shared" si="9"/>
        <v>17214112.830000002</v>
      </c>
      <c r="K33" s="33">
        <f t="shared" si="9"/>
        <v>43109622.629999995</v>
      </c>
      <c r="L33" s="33">
        <f t="shared" si="9"/>
        <v>44334788.439999998</v>
      </c>
      <c r="M33" s="33">
        <f t="shared" si="9"/>
        <v>22870574.600000001</v>
      </c>
      <c r="N33" s="33">
        <v>3407874.7</v>
      </c>
      <c r="O33" s="33">
        <f t="shared" ref="O33:Z33" si="10">+O30+O32</f>
        <v>4476475.1500000004</v>
      </c>
      <c r="P33" s="33">
        <f t="shared" si="10"/>
        <v>49171675.119999997</v>
      </c>
      <c r="Q33" s="33">
        <f t="shared" si="10"/>
        <v>14374249.200000001</v>
      </c>
      <c r="R33" s="33">
        <f t="shared" si="10"/>
        <v>6537555.2699999996</v>
      </c>
      <c r="S33" s="33">
        <f t="shared" si="10"/>
        <v>6537555.2699999996</v>
      </c>
      <c r="T33" s="33">
        <f t="shared" si="10"/>
        <v>82869776.719999999</v>
      </c>
      <c r="U33" s="33">
        <f t="shared" si="10"/>
        <v>75222910.510000005</v>
      </c>
      <c r="V33" s="33">
        <f t="shared" si="10"/>
        <v>70083612.220000014</v>
      </c>
      <c r="W33" s="33">
        <f t="shared" si="10"/>
        <v>70782635.840000004</v>
      </c>
      <c r="X33" s="33">
        <f t="shared" si="10"/>
        <v>177784300.94</v>
      </c>
      <c r="Y33" s="33">
        <f t="shared" si="10"/>
        <v>112137494.48</v>
      </c>
      <c r="Z33" s="33">
        <f t="shared" si="10"/>
        <v>69335083.739999995</v>
      </c>
    </row>
    <row r="35" spans="1:26" x14ac:dyDescent="0.25">
      <c r="A35" s="32" t="s">
        <v>145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25">
      <c r="A36" t="s">
        <v>282</v>
      </c>
      <c r="B36" s="1">
        <v>207066981.88</v>
      </c>
      <c r="C36" s="1">
        <f>+B36</f>
        <v>207066981.88</v>
      </c>
      <c r="D36" s="1">
        <v>207066981.88</v>
      </c>
      <c r="E36" s="1">
        <f>+D36</f>
        <v>207066981.88</v>
      </c>
      <c r="F36" s="1">
        <v>207066981.88</v>
      </c>
      <c r="G36" s="1">
        <v>207066981.88</v>
      </c>
      <c r="H36" s="1">
        <v>207066981.88</v>
      </c>
      <c r="I36" s="1">
        <v>207066981.88</v>
      </c>
      <c r="J36" s="1">
        <v>207066981.88</v>
      </c>
      <c r="K36" s="1">
        <v>207066981.88</v>
      </c>
    </row>
    <row r="37" spans="1:26" x14ac:dyDescent="0.25">
      <c r="A37" t="s">
        <v>283</v>
      </c>
      <c r="B37" s="1">
        <v>-7199159.6799999997</v>
      </c>
      <c r="C37" s="1">
        <f>+B37</f>
        <v>-7199159.6799999997</v>
      </c>
      <c r="D37" s="1">
        <v>-7199159.6799999997</v>
      </c>
      <c r="E37" s="1">
        <f>+D37</f>
        <v>-7199159.6799999997</v>
      </c>
      <c r="F37" s="1">
        <v>-7199159.6799999997</v>
      </c>
      <c r="G37" s="1">
        <v>-7199159.6799999997</v>
      </c>
      <c r="H37" s="1">
        <v>-7199159.6799999997</v>
      </c>
      <c r="I37" s="1">
        <v>-7199159.6799999997</v>
      </c>
      <c r="J37" s="1">
        <v>-7199159.6799999997</v>
      </c>
      <c r="K37" s="1">
        <v>-7199159.6799999997</v>
      </c>
      <c r="L37" s="1">
        <v>292601309.32999998</v>
      </c>
      <c r="M37" s="1">
        <v>292601309.32999998</v>
      </c>
      <c r="N37" s="1">
        <v>292601309.32999998</v>
      </c>
      <c r="O37" s="1">
        <v>292601309.32999998</v>
      </c>
      <c r="P37" s="1">
        <v>292601309.32999998</v>
      </c>
      <c r="Q37" s="42">
        <f>+P37</f>
        <v>292601309.32999998</v>
      </c>
      <c r="R37" s="42">
        <f>+Q37</f>
        <v>292601309.32999998</v>
      </c>
      <c r="S37" s="42">
        <v>292601309.32999998</v>
      </c>
      <c r="T37" s="42">
        <f>+S37</f>
        <v>292601309.32999998</v>
      </c>
      <c r="U37" s="1">
        <v>292601309.32999998</v>
      </c>
      <c r="V37" s="1">
        <f>+U37</f>
        <v>292601309.32999998</v>
      </c>
      <c r="W37" s="40">
        <f>+V37</f>
        <v>292601309.32999998</v>
      </c>
      <c r="X37" s="40">
        <f>+W37</f>
        <v>292601309.32999998</v>
      </c>
      <c r="Y37" s="40">
        <f>+X37</f>
        <v>292601309.32999998</v>
      </c>
      <c r="Z37" s="40">
        <f>+Y37</f>
        <v>292601309.32999998</v>
      </c>
    </row>
    <row r="38" spans="1:26" x14ac:dyDescent="0.25">
      <c r="A38" t="s">
        <v>284</v>
      </c>
      <c r="B38" s="1">
        <v>662174906.72000003</v>
      </c>
      <c r="C38" s="1">
        <v>482461088.25</v>
      </c>
      <c r="D38" s="1">
        <v>474041872.37</v>
      </c>
      <c r="E38" s="1">
        <v>255949135.02000001</v>
      </c>
      <c r="F38" s="1">
        <v>308575537.60000002</v>
      </c>
      <c r="G38" s="1">
        <v>248568386.88999999</v>
      </c>
      <c r="H38" s="1">
        <f>+'[2]estado de resultado '!$E$145</f>
        <v>185311596.00999999</v>
      </c>
      <c r="I38" s="1">
        <v>181371970.62</v>
      </c>
      <c r="J38" s="1">
        <v>98604752.730000004</v>
      </c>
      <c r="K38" s="1">
        <v>-46641243.590000004</v>
      </c>
      <c r="L38" s="1">
        <v>978845346.35000002</v>
      </c>
      <c r="M38" s="1">
        <v>691109372.88999999</v>
      </c>
      <c r="N38" s="1">
        <v>736753038.08000004</v>
      </c>
      <c r="O38" s="1">
        <v>572675588.52999997</v>
      </c>
      <c r="P38" s="1">
        <v>553260617.6400001</v>
      </c>
      <c r="Q38" s="42">
        <v>361745787.11000001</v>
      </c>
      <c r="R38" s="42">
        <v>361745787.11000001</v>
      </c>
      <c r="S38" s="42">
        <v>361745787.11000001</v>
      </c>
      <c r="T38" s="42">
        <v>388627333.18000001</v>
      </c>
      <c r="U38" s="1">
        <v>312997912.86000001</v>
      </c>
      <c r="V38" s="1">
        <v>372198323.47000003</v>
      </c>
      <c r="W38" s="42">
        <v>343977166.95999998</v>
      </c>
      <c r="X38" s="42">
        <v>337061638</v>
      </c>
      <c r="Y38" s="52">
        <f>+'[1]estado de resultado '!E164</f>
        <v>1036449105.8799999</v>
      </c>
      <c r="Z38" s="40">
        <f>+'[1]estado de resultado '!E164</f>
        <v>1036449105.8799999</v>
      </c>
    </row>
    <row r="39" spans="1:26" x14ac:dyDescent="0.25">
      <c r="A39" t="s">
        <v>289</v>
      </c>
      <c r="B39" s="1">
        <f>-32134783.18+26136</f>
        <v>-32108647.18</v>
      </c>
      <c r="C39" s="1">
        <f>-8876126.4-83352-10185.9</f>
        <v>-8969664.3000000007</v>
      </c>
      <c r="D39" s="1">
        <v>-11774789.869999999</v>
      </c>
      <c r="E39" s="1">
        <v>54718698.909999996</v>
      </c>
      <c r="F39" s="1">
        <v>-11982461.27</v>
      </c>
      <c r="G39" s="1">
        <v>-8803909.3699999992</v>
      </c>
      <c r="H39" s="1">
        <f>22865625.01</f>
        <v>22865625.010000002</v>
      </c>
      <c r="I39" s="1">
        <v>-16296530.68</v>
      </c>
      <c r="J39" s="1">
        <v>39200394.850000001</v>
      </c>
      <c r="K39" s="1">
        <v>96265108.090000004</v>
      </c>
      <c r="L39" s="1">
        <v>-92039298.650000006</v>
      </c>
      <c r="M39" s="1">
        <v>-51710722.460000001</v>
      </c>
      <c r="N39" s="1">
        <v>-64493820.809999995</v>
      </c>
      <c r="O39" s="1">
        <v>-83283286.780000001</v>
      </c>
      <c r="P39" s="1">
        <v>-130358240.54000001</v>
      </c>
      <c r="Q39" s="42">
        <v>4948235.45</v>
      </c>
      <c r="R39" s="42">
        <v>12784929.380000001</v>
      </c>
      <c r="S39" s="42">
        <v>8919852.5700000003</v>
      </c>
      <c r="T39" s="42">
        <v>-157812878.87</v>
      </c>
      <c r="U39" s="1">
        <v>-89241384.129999995</v>
      </c>
      <c r="V39" s="1">
        <v>73515559.890000001</v>
      </c>
      <c r="W39" s="42">
        <v>70533874.560000002</v>
      </c>
      <c r="X39" s="42">
        <v>5798102.8099999996</v>
      </c>
      <c r="Y39" s="42">
        <f>189996959.39+740523.4</f>
        <v>190737482.78999999</v>
      </c>
      <c r="Z39" s="42">
        <v>-2545878.56</v>
      </c>
    </row>
    <row r="40" spans="1:26" x14ac:dyDescent="0.25">
      <c r="A40" s="32" t="s">
        <v>285</v>
      </c>
      <c r="B40" s="33">
        <f t="shared" ref="B40:M40" si="11">+B36+B37+B38+B39</f>
        <v>829934081.74000013</v>
      </c>
      <c r="C40" s="33">
        <f t="shared" si="11"/>
        <v>673359246.1500001</v>
      </c>
      <c r="D40" s="33">
        <f t="shared" si="11"/>
        <v>662134904.69999993</v>
      </c>
      <c r="E40" s="33">
        <f t="shared" si="11"/>
        <v>510535656.13</v>
      </c>
      <c r="F40" s="33">
        <f t="shared" si="11"/>
        <v>496460898.53000003</v>
      </c>
      <c r="G40" s="33">
        <f t="shared" si="11"/>
        <v>439632299.71999997</v>
      </c>
      <c r="H40" s="33">
        <f t="shared" si="11"/>
        <v>408045043.21999997</v>
      </c>
      <c r="I40" s="33">
        <f t="shared" si="11"/>
        <v>364943262.13999999</v>
      </c>
      <c r="J40" s="33">
        <f t="shared" si="11"/>
        <v>337672969.78000003</v>
      </c>
      <c r="K40" s="33">
        <f t="shared" si="11"/>
        <v>249491686.69999999</v>
      </c>
      <c r="L40" s="33">
        <f t="shared" si="11"/>
        <v>1179407357.03</v>
      </c>
      <c r="M40" s="33">
        <f t="shared" si="11"/>
        <v>931999959.75999999</v>
      </c>
      <c r="N40" s="33">
        <v>964860526.60000014</v>
      </c>
      <c r="O40" s="33">
        <f t="shared" ref="O40" si="12">+O36+O37+O38+O39</f>
        <v>781993611.07999992</v>
      </c>
      <c r="P40" s="33">
        <f>+P36+P37+P38+P39</f>
        <v>715503686.43000007</v>
      </c>
      <c r="Q40" s="33">
        <f>+Q36+Q37+Q38+Q39</f>
        <v>659295331.8900001</v>
      </c>
      <c r="R40" s="33">
        <f>+R36+R37+R38+R39</f>
        <v>667132025.82000005</v>
      </c>
      <c r="S40" s="33">
        <f>+S36+S37+S38+S39</f>
        <v>663266949.01000011</v>
      </c>
      <c r="T40" s="33">
        <f t="shared" ref="T40:V40" si="13">+T36+T37+T38+T39</f>
        <v>523415763.63999999</v>
      </c>
      <c r="U40" s="33">
        <f t="shared" si="13"/>
        <v>516357838.06000006</v>
      </c>
      <c r="V40" s="33">
        <f t="shared" si="13"/>
        <v>738315192.68999994</v>
      </c>
      <c r="W40" s="33">
        <f>+W36+W37+W38+W39</f>
        <v>707112350.8499999</v>
      </c>
      <c r="X40" s="33">
        <f>+X36+X37+X38+X39</f>
        <v>635461050.13999987</v>
      </c>
      <c r="Y40" s="33">
        <f>+Y36+Y37+Y38+Y39</f>
        <v>1519787897.9999998</v>
      </c>
      <c r="Z40" s="33">
        <f>+Z36+Z37+Z38+Z39</f>
        <v>1326504536.6499999</v>
      </c>
    </row>
    <row r="41" spans="1:26" ht="15.75" thickBot="1" x14ac:dyDescent="0.3">
      <c r="A41" s="32" t="s">
        <v>286</v>
      </c>
      <c r="B41" s="34">
        <f t="shared" ref="B41:M41" si="14">+B33+B40</f>
        <v>866561662.19000018</v>
      </c>
      <c r="C41" s="34">
        <f t="shared" si="14"/>
        <v>706550462.48000014</v>
      </c>
      <c r="D41" s="34">
        <f t="shared" si="14"/>
        <v>688698305.74999988</v>
      </c>
      <c r="E41" s="34">
        <f t="shared" si="14"/>
        <v>539641569.82000005</v>
      </c>
      <c r="F41" s="34">
        <f t="shared" si="14"/>
        <v>506921862.21000004</v>
      </c>
      <c r="G41" s="34">
        <f t="shared" si="14"/>
        <v>445823365.65999997</v>
      </c>
      <c r="H41" s="34">
        <f t="shared" si="14"/>
        <v>416959353.99999994</v>
      </c>
      <c r="I41" s="34">
        <f t="shared" si="14"/>
        <v>377122343.94</v>
      </c>
      <c r="J41" s="34">
        <f t="shared" si="14"/>
        <v>354887082.61000001</v>
      </c>
      <c r="K41" s="34">
        <f t="shared" si="14"/>
        <v>292601309.32999998</v>
      </c>
      <c r="L41" s="34">
        <f t="shared" si="14"/>
        <v>1223742145.47</v>
      </c>
      <c r="M41" s="34">
        <f t="shared" si="14"/>
        <v>954870534.36000001</v>
      </c>
      <c r="N41" s="34">
        <v>968268401.30000019</v>
      </c>
      <c r="O41" s="34">
        <f t="shared" ref="O41:Z41" si="15">+O33+O40</f>
        <v>786470086.2299999</v>
      </c>
      <c r="P41" s="34">
        <f t="shared" si="15"/>
        <v>764675361.55000007</v>
      </c>
      <c r="Q41" s="34">
        <f t="shared" si="15"/>
        <v>673669581.09000015</v>
      </c>
      <c r="R41" s="34">
        <f t="shared" si="15"/>
        <v>673669581.09000003</v>
      </c>
      <c r="S41" s="34">
        <f t="shared" si="15"/>
        <v>669804504.28000009</v>
      </c>
      <c r="T41" s="34">
        <f t="shared" si="15"/>
        <v>606285540.36000001</v>
      </c>
      <c r="U41" s="34">
        <f t="shared" si="15"/>
        <v>591580748.57000005</v>
      </c>
      <c r="V41" s="34">
        <f t="shared" si="15"/>
        <v>808398804.90999997</v>
      </c>
      <c r="W41" s="34">
        <f t="shared" si="15"/>
        <v>777894986.68999994</v>
      </c>
      <c r="X41" s="34">
        <f t="shared" si="15"/>
        <v>813245351.07999992</v>
      </c>
      <c r="Y41" s="34">
        <f t="shared" si="15"/>
        <v>1631925392.4799998</v>
      </c>
      <c r="Z41" s="34">
        <f t="shared" si="15"/>
        <v>1395839620.3899999</v>
      </c>
    </row>
    <row r="42" spans="1:26" ht="15.75" thickTop="1" x14ac:dyDescent="0.25">
      <c r="B42" s="1">
        <f>+B23-B41</f>
        <v>0</v>
      </c>
      <c r="C42" s="1">
        <f>+C23-C41</f>
        <v>0</v>
      </c>
      <c r="D42" s="1">
        <f>+D23-D41</f>
        <v>0</v>
      </c>
      <c r="E42" s="1">
        <f>+E23-E41</f>
        <v>0</v>
      </c>
      <c r="F42" s="1">
        <f>+F23-F41</f>
        <v>0</v>
      </c>
      <c r="L42" s="1">
        <f>+L23-L41</f>
        <v>0</v>
      </c>
      <c r="U42" s="1"/>
    </row>
    <row r="43" spans="1:26" x14ac:dyDescent="0.25">
      <c r="A43" t="s">
        <v>290</v>
      </c>
      <c r="H43" s="1">
        <f>+H41-H23</f>
        <v>0</v>
      </c>
      <c r="I43" s="1">
        <f>+I41-I23</f>
        <v>0</v>
      </c>
      <c r="J43" s="1">
        <f>+J23-J41</f>
        <v>0</v>
      </c>
      <c r="K43" s="1">
        <f>+K23-K41</f>
        <v>0</v>
      </c>
      <c r="O43" s="40">
        <f>+O23-O41</f>
        <v>0</v>
      </c>
      <c r="P43" s="40">
        <f t="shared" ref="P43:V43" si="16">+P41-P23</f>
        <v>0</v>
      </c>
      <c r="Q43" s="40">
        <f t="shared" si="16"/>
        <v>0</v>
      </c>
      <c r="R43" s="40">
        <f t="shared" si="16"/>
        <v>0</v>
      </c>
      <c r="S43" s="40">
        <f t="shared" si="16"/>
        <v>0</v>
      </c>
      <c r="T43" s="40">
        <f t="shared" si="16"/>
        <v>0</v>
      </c>
      <c r="U43" s="40">
        <f t="shared" si="16"/>
        <v>0</v>
      </c>
      <c r="V43" s="40">
        <f t="shared" si="16"/>
        <v>0</v>
      </c>
      <c r="W43" s="40">
        <f>+W41-W23</f>
        <v>0</v>
      </c>
      <c r="X43" s="40">
        <f>+X41-X23</f>
        <v>0</v>
      </c>
      <c r="Y43" s="40">
        <f>+Y41-Y23</f>
        <v>836826676.3099997</v>
      </c>
      <c r="Z43" s="40">
        <f>+Z41-Z23</f>
        <v>0</v>
      </c>
    </row>
    <row r="44" spans="1:26" x14ac:dyDescent="0.25">
      <c r="A44" s="37" t="s">
        <v>352</v>
      </c>
      <c r="G44" s="1">
        <f>+G41-G23</f>
        <v>0</v>
      </c>
    </row>
    <row r="45" spans="1:26" x14ac:dyDescent="0.25">
      <c r="A45" t="s">
        <v>353</v>
      </c>
    </row>
    <row r="48" spans="1:26" x14ac:dyDescent="0.25">
      <c r="A48" t="s">
        <v>291</v>
      </c>
    </row>
    <row r="49" spans="1:1" x14ac:dyDescent="0.25">
      <c r="A49" s="37" t="s">
        <v>325</v>
      </c>
    </row>
    <row r="50" spans="1:1" x14ac:dyDescent="0.25">
      <c r="A50" t="s">
        <v>326</v>
      </c>
    </row>
    <row r="52" spans="1:1" x14ac:dyDescent="0.25">
      <c r="A52" s="26"/>
    </row>
    <row r="55" spans="1:1" x14ac:dyDescent="0.25">
      <c r="A55" s="26"/>
    </row>
  </sheetData>
  <mergeCells count="2">
    <mergeCell ref="A1:Z1"/>
    <mergeCell ref="A2:Z2"/>
  </mergeCells>
  <pageMargins left="0.7" right="0.7" top="0.75" bottom="0.75" header="0.3" footer="0.3"/>
  <pageSetup scale="9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opLeftCell="A34" zoomScale="120" zoomScaleNormal="120" zoomScaleSheetLayoutView="100" workbookViewId="0">
      <selection activeCell="D18" sqref="D18"/>
    </sheetView>
  </sheetViews>
  <sheetFormatPr baseColWidth="10" defaultRowHeight="15" x14ac:dyDescent="0.25"/>
  <cols>
    <col min="1" max="1" width="20.85546875" customWidth="1"/>
    <col min="2" max="2" width="8.140625" customWidth="1"/>
    <col min="3" max="3" width="41.42578125" customWidth="1"/>
    <col min="4" max="5" width="21.42578125" customWidth="1"/>
    <col min="6" max="6" width="16.42578125" style="1" customWidth="1"/>
    <col min="9" max="9" width="14.42578125" customWidth="1"/>
  </cols>
  <sheetData>
    <row r="1" spans="1:7" ht="20.25" x14ac:dyDescent="0.3">
      <c r="A1" s="70" t="s">
        <v>0</v>
      </c>
      <c r="B1" s="70"/>
      <c r="C1" s="70"/>
      <c r="D1" s="70"/>
      <c r="E1" s="70"/>
    </row>
    <row r="2" spans="1:7" ht="18" x14ac:dyDescent="0.25">
      <c r="A2" s="71" t="s">
        <v>1</v>
      </c>
      <c r="B2" s="71"/>
      <c r="C2" s="71"/>
      <c r="D2" s="71"/>
      <c r="E2" s="71"/>
    </row>
    <row r="3" spans="1:7" ht="15.75" x14ac:dyDescent="0.25">
      <c r="A3" s="72" t="s">
        <v>2</v>
      </c>
      <c r="B3" s="72"/>
      <c r="C3" s="72"/>
      <c r="D3" s="72"/>
      <c r="E3" s="72"/>
    </row>
    <row r="4" spans="1:7" x14ac:dyDescent="0.25">
      <c r="A4" s="73" t="s">
        <v>264</v>
      </c>
      <c r="B4" s="73"/>
      <c r="C4" s="73"/>
      <c r="D4" s="73"/>
      <c r="E4" s="73"/>
    </row>
    <row r="5" spans="1:7" x14ac:dyDescent="0.25">
      <c r="A5" s="73" t="s">
        <v>3</v>
      </c>
      <c r="B5" s="73"/>
      <c r="C5" s="73"/>
      <c r="D5" s="73"/>
      <c r="E5" s="73"/>
    </row>
    <row r="6" spans="1:7" x14ac:dyDescent="0.25">
      <c r="A6" s="74">
        <v>2021</v>
      </c>
      <c r="B6" s="74"/>
      <c r="C6" s="74"/>
      <c r="D6" s="74"/>
      <c r="E6" s="74"/>
    </row>
    <row r="8" spans="1:7" ht="39" customHeight="1" x14ac:dyDescent="0.25">
      <c r="A8" s="25" t="s">
        <v>260</v>
      </c>
      <c r="B8" s="68"/>
      <c r="C8" s="69"/>
      <c r="D8" s="3" t="s">
        <v>356</v>
      </c>
      <c r="E8" s="3"/>
    </row>
    <row r="9" spans="1:7" x14ac:dyDescent="0.25">
      <c r="A9" s="25" t="s">
        <v>163</v>
      </c>
      <c r="B9" s="4" t="s">
        <v>11</v>
      </c>
      <c r="C9" s="5" t="s">
        <v>12</v>
      </c>
      <c r="D9" s="6">
        <f>SUM(D10:D14)</f>
        <v>316892107.77000004</v>
      </c>
      <c r="E9" s="6">
        <f>+E15</f>
        <v>316892107.77000004</v>
      </c>
    </row>
    <row r="10" spans="1:7" x14ac:dyDescent="0.25">
      <c r="A10" s="10" t="s">
        <v>164</v>
      </c>
      <c r="B10" s="7" t="s">
        <v>13</v>
      </c>
      <c r="C10" s="8" t="s">
        <v>14</v>
      </c>
      <c r="D10" s="9">
        <v>1118972.01</v>
      </c>
      <c r="E10" s="9"/>
    </row>
    <row r="11" spans="1:7" x14ac:dyDescent="0.25">
      <c r="A11" s="10" t="s">
        <v>165</v>
      </c>
      <c r="B11" s="7" t="s">
        <v>15</v>
      </c>
      <c r="C11" s="8" t="s">
        <v>162</v>
      </c>
      <c r="D11" s="9">
        <v>310186711.30000001</v>
      </c>
      <c r="E11" s="9"/>
    </row>
    <row r="12" spans="1:7" x14ac:dyDescent="0.25">
      <c r="A12" s="56" t="s">
        <v>166</v>
      </c>
      <c r="B12" s="61" t="s">
        <v>16</v>
      </c>
      <c r="C12" s="62" t="s">
        <v>350</v>
      </c>
      <c r="D12" s="58">
        <v>4645039.67</v>
      </c>
      <c r="E12" s="58"/>
    </row>
    <row r="13" spans="1:7" x14ac:dyDescent="0.25">
      <c r="A13" s="10" t="s">
        <v>167</v>
      </c>
      <c r="B13" s="7" t="s">
        <v>17</v>
      </c>
      <c r="C13" s="8" t="s">
        <v>304</v>
      </c>
      <c r="D13" s="9">
        <v>941384.79</v>
      </c>
      <c r="E13" s="9"/>
      <c r="G13" s="40"/>
    </row>
    <row r="14" spans="1:7" hidden="1" x14ac:dyDescent="0.25">
      <c r="A14" s="10"/>
      <c r="B14" s="7"/>
      <c r="C14" s="8" t="s">
        <v>327</v>
      </c>
      <c r="D14" s="9"/>
      <c r="E14" s="9"/>
    </row>
    <row r="15" spans="1:7" x14ac:dyDescent="0.25">
      <c r="A15" s="10"/>
      <c r="B15" s="10"/>
      <c r="C15" s="8" t="s">
        <v>18</v>
      </c>
      <c r="D15" s="9"/>
      <c r="E15" s="9">
        <f>SUM(D10:D14)</f>
        <v>316892107.77000004</v>
      </c>
    </row>
    <row r="16" spans="1:7" x14ac:dyDescent="0.25">
      <c r="A16" s="11"/>
      <c r="B16" s="11"/>
      <c r="C16" s="5" t="s">
        <v>19</v>
      </c>
      <c r="D16" s="35">
        <f>+D17+D40+D93+D146+D159+D176</f>
        <v>51362915.079999998</v>
      </c>
      <c r="E16" s="35">
        <f>+D16</f>
        <v>51362915.079999998</v>
      </c>
    </row>
    <row r="17" spans="1:9" x14ac:dyDescent="0.25">
      <c r="A17" s="11"/>
      <c r="B17" s="11">
        <v>1</v>
      </c>
      <c r="C17" s="5" t="s">
        <v>20</v>
      </c>
      <c r="D17" s="12">
        <f>SUM(D18:D39)</f>
        <v>25445793.300000001</v>
      </c>
      <c r="E17" s="12" t="s">
        <v>303</v>
      </c>
    </row>
    <row r="18" spans="1:9" x14ac:dyDescent="0.25">
      <c r="A18" s="10" t="s">
        <v>168</v>
      </c>
      <c r="B18" s="10">
        <v>11101</v>
      </c>
      <c r="C18" s="8" t="s">
        <v>21</v>
      </c>
      <c r="D18" s="58">
        <v>15642849.199999999</v>
      </c>
      <c r="E18" s="9"/>
    </row>
    <row r="19" spans="1:9" x14ac:dyDescent="0.25">
      <c r="A19" s="10" t="s">
        <v>169</v>
      </c>
      <c r="B19" s="10">
        <v>11201</v>
      </c>
      <c r="C19" s="8" t="s">
        <v>22</v>
      </c>
      <c r="D19" s="58">
        <v>4241900</v>
      </c>
      <c r="E19" s="9"/>
    </row>
    <row r="20" spans="1:9" x14ac:dyDescent="0.25">
      <c r="A20" s="10" t="s">
        <v>170</v>
      </c>
      <c r="B20" s="10">
        <v>11203</v>
      </c>
      <c r="C20" s="8" t="s">
        <v>23</v>
      </c>
      <c r="D20" s="58"/>
      <c r="E20" s="9"/>
    </row>
    <row r="21" spans="1:9" x14ac:dyDescent="0.25">
      <c r="A21" s="10" t="s">
        <v>171</v>
      </c>
      <c r="B21" s="10">
        <v>11204</v>
      </c>
      <c r="C21" s="8" t="s">
        <v>24</v>
      </c>
      <c r="D21" s="58"/>
      <c r="E21" s="9"/>
    </row>
    <row r="22" spans="1:9" ht="30" x14ac:dyDescent="0.25">
      <c r="A22" s="10" t="s">
        <v>172</v>
      </c>
      <c r="B22" s="10">
        <v>11205</v>
      </c>
      <c r="C22" s="8" t="s">
        <v>161</v>
      </c>
      <c r="D22" s="58">
        <v>25200</v>
      </c>
      <c r="E22" s="9"/>
    </row>
    <row r="23" spans="1:9" x14ac:dyDescent="0.25">
      <c r="A23" s="10" t="s">
        <v>173</v>
      </c>
      <c r="B23" s="10">
        <v>11401</v>
      </c>
      <c r="C23" s="8" t="s">
        <v>25</v>
      </c>
      <c r="D23" s="58"/>
      <c r="E23" s="9"/>
    </row>
    <row r="24" spans="1:9" x14ac:dyDescent="0.25">
      <c r="A24" s="10" t="s">
        <v>174</v>
      </c>
      <c r="B24" s="10">
        <v>11501</v>
      </c>
      <c r="C24" s="8" t="s">
        <v>26</v>
      </c>
      <c r="D24" s="58"/>
      <c r="E24" s="9"/>
    </row>
    <row r="25" spans="1:9" ht="30" x14ac:dyDescent="0.25">
      <c r="A25" s="10"/>
      <c r="B25" s="10">
        <v>11503</v>
      </c>
      <c r="C25" s="8" t="s">
        <v>349</v>
      </c>
      <c r="D25" s="58">
        <v>845500</v>
      </c>
      <c r="E25" s="9"/>
    </row>
    <row r="26" spans="1:9" x14ac:dyDescent="0.25">
      <c r="A26" s="10"/>
      <c r="B26" s="10">
        <v>11504</v>
      </c>
      <c r="C26" s="8" t="s">
        <v>27</v>
      </c>
      <c r="D26" s="58">
        <v>646299.51</v>
      </c>
      <c r="E26" s="9"/>
    </row>
    <row r="27" spans="1:9" x14ac:dyDescent="0.25">
      <c r="A27" s="10"/>
      <c r="B27" s="10">
        <v>12202</v>
      </c>
      <c r="C27" s="8" t="s">
        <v>28</v>
      </c>
      <c r="D27" s="58"/>
      <c r="E27" s="9"/>
      <c r="I27" s="40"/>
    </row>
    <row r="28" spans="1:9" ht="30" x14ac:dyDescent="0.25">
      <c r="A28" s="10"/>
      <c r="B28" s="10">
        <v>12203</v>
      </c>
      <c r="C28" s="8" t="s">
        <v>29</v>
      </c>
      <c r="D28" s="58"/>
      <c r="E28" s="9"/>
    </row>
    <row r="29" spans="1:9" x14ac:dyDescent="0.25">
      <c r="A29" s="10" t="s">
        <v>175</v>
      </c>
      <c r="B29" s="10">
        <v>12204</v>
      </c>
      <c r="C29" s="8" t="s">
        <v>30</v>
      </c>
      <c r="D29" s="58"/>
      <c r="E29" s="9"/>
    </row>
    <row r="30" spans="1:9" x14ac:dyDescent="0.25">
      <c r="A30" s="10" t="s">
        <v>176</v>
      </c>
      <c r="B30" s="10">
        <v>12205</v>
      </c>
      <c r="C30" s="8" t="s">
        <v>31</v>
      </c>
      <c r="D30" s="58">
        <v>1037000</v>
      </c>
      <c r="E30" s="9"/>
    </row>
    <row r="31" spans="1:9" x14ac:dyDescent="0.25">
      <c r="A31" s="10" t="s">
        <v>177</v>
      </c>
      <c r="B31" s="10">
        <v>12206</v>
      </c>
      <c r="C31" s="8" t="s">
        <v>32</v>
      </c>
      <c r="D31" s="58"/>
      <c r="E31" s="9"/>
    </row>
    <row r="32" spans="1:9" x14ac:dyDescent="0.25">
      <c r="A32" s="10" t="s">
        <v>178</v>
      </c>
      <c r="B32" s="10">
        <v>12209</v>
      </c>
      <c r="C32" s="8" t="s">
        <v>33</v>
      </c>
      <c r="D32" s="58"/>
      <c r="E32" s="9"/>
    </row>
    <row r="33" spans="1:5" x14ac:dyDescent="0.25">
      <c r="A33" s="10"/>
      <c r="B33" s="10">
        <v>12210</v>
      </c>
      <c r="C33" s="8" t="s">
        <v>297</v>
      </c>
      <c r="D33" s="58"/>
      <c r="E33" s="9"/>
    </row>
    <row r="34" spans="1:5" ht="30" x14ac:dyDescent="0.25">
      <c r="A34" s="10"/>
      <c r="B34" s="10">
        <v>12215</v>
      </c>
      <c r="C34" s="8" t="s">
        <v>29</v>
      </c>
      <c r="D34" s="58"/>
      <c r="E34" s="9"/>
    </row>
    <row r="35" spans="1:5" x14ac:dyDescent="0.25">
      <c r="A35" s="10"/>
      <c r="B35" s="10">
        <v>13201</v>
      </c>
      <c r="C35" s="8" t="s">
        <v>34</v>
      </c>
      <c r="D35" s="58"/>
      <c r="E35" s="9"/>
    </row>
    <row r="36" spans="1:5" x14ac:dyDescent="0.25">
      <c r="A36" s="10" t="s">
        <v>179</v>
      </c>
      <c r="B36" s="10">
        <v>13101</v>
      </c>
      <c r="C36" s="8" t="s">
        <v>35</v>
      </c>
      <c r="D36" s="58"/>
      <c r="E36" s="9"/>
    </row>
    <row r="37" spans="1:5" x14ac:dyDescent="0.25">
      <c r="A37" s="10" t="s">
        <v>180</v>
      </c>
      <c r="B37" s="10">
        <v>15101</v>
      </c>
      <c r="C37" s="8" t="s">
        <v>36</v>
      </c>
      <c r="D37" s="59">
        <v>1397675.16</v>
      </c>
      <c r="E37" s="9"/>
    </row>
    <row r="38" spans="1:5" x14ac:dyDescent="0.25">
      <c r="A38" s="10" t="s">
        <v>181</v>
      </c>
      <c r="B38" s="10">
        <v>15201</v>
      </c>
      <c r="C38" s="8" t="s">
        <v>37</v>
      </c>
      <c r="D38" s="58">
        <v>1413606.41</v>
      </c>
      <c r="E38" s="9"/>
    </row>
    <row r="39" spans="1:5" ht="30" x14ac:dyDescent="0.25">
      <c r="A39" s="10"/>
      <c r="B39" s="10">
        <v>15301</v>
      </c>
      <c r="C39" s="8" t="s">
        <v>38</v>
      </c>
      <c r="D39" s="58">
        <v>195763.02</v>
      </c>
      <c r="E39" s="9"/>
    </row>
    <row r="40" spans="1:5" x14ac:dyDescent="0.25">
      <c r="A40" s="11"/>
      <c r="B40" s="11">
        <v>2</v>
      </c>
      <c r="C40" s="5" t="s">
        <v>39</v>
      </c>
      <c r="D40" s="12">
        <f>SUM(D41:D92)</f>
        <v>8557577.209999999</v>
      </c>
      <c r="E40" s="12"/>
    </row>
    <row r="41" spans="1:5" x14ac:dyDescent="0.25">
      <c r="A41" s="10" t="s">
        <v>182</v>
      </c>
      <c r="B41" s="10">
        <v>21201</v>
      </c>
      <c r="C41" s="8" t="s">
        <v>40</v>
      </c>
      <c r="D41" s="58">
        <v>89795.61</v>
      </c>
      <c r="E41" s="9"/>
    </row>
    <row r="42" spans="1:5" x14ac:dyDescent="0.25">
      <c r="A42" s="10" t="s">
        <v>183</v>
      </c>
      <c r="B42" s="10">
        <v>21301</v>
      </c>
      <c r="C42" s="8" t="s">
        <v>41</v>
      </c>
      <c r="D42" s="58">
        <v>43851.41</v>
      </c>
      <c r="E42" s="9"/>
    </row>
    <row r="43" spans="1:5" x14ac:dyDescent="0.25">
      <c r="A43" s="10" t="s">
        <v>184</v>
      </c>
      <c r="B43" s="10">
        <v>21401</v>
      </c>
      <c r="C43" s="8" t="s">
        <v>42</v>
      </c>
      <c r="D43" s="58"/>
      <c r="E43" s="9"/>
    </row>
    <row r="44" spans="1:5" x14ac:dyDescent="0.25">
      <c r="A44" s="10" t="s">
        <v>185</v>
      </c>
      <c r="B44" s="10">
        <v>21501</v>
      </c>
      <c r="C44" s="8" t="s">
        <v>43</v>
      </c>
      <c r="D44" s="58">
        <v>1642355.47</v>
      </c>
      <c r="E44" s="9"/>
    </row>
    <row r="45" spans="1:5" x14ac:dyDescent="0.25">
      <c r="A45" s="10" t="s">
        <v>186</v>
      </c>
      <c r="B45" s="10">
        <v>21601</v>
      </c>
      <c r="C45" s="8" t="s">
        <v>44</v>
      </c>
      <c r="D45" s="58">
        <v>1635235.8</v>
      </c>
      <c r="E45" s="9"/>
    </row>
    <row r="46" spans="1:5" x14ac:dyDescent="0.25">
      <c r="A46" s="10" t="s">
        <v>187</v>
      </c>
      <c r="B46" s="10">
        <v>21701</v>
      </c>
      <c r="C46" s="8" t="s">
        <v>45</v>
      </c>
      <c r="D46" s="58">
        <f>13170+450+5940</f>
        <v>19560</v>
      </c>
      <c r="E46" s="9"/>
    </row>
    <row r="47" spans="1:5" x14ac:dyDescent="0.25">
      <c r="A47" s="10" t="s">
        <v>188</v>
      </c>
      <c r="B47" s="10">
        <v>21801</v>
      </c>
      <c r="C47" s="8" t="s">
        <v>46</v>
      </c>
      <c r="D47" s="9">
        <v>9544</v>
      </c>
      <c r="E47" s="9"/>
    </row>
    <row r="48" spans="1:5" x14ac:dyDescent="0.25">
      <c r="A48" s="10" t="s">
        <v>189</v>
      </c>
      <c r="B48" s="10">
        <v>22101</v>
      </c>
      <c r="C48" s="8" t="s">
        <v>47</v>
      </c>
      <c r="D48" s="9">
        <v>37487</v>
      </c>
      <c r="E48" s="9"/>
    </row>
    <row r="49" spans="1:5" x14ac:dyDescent="0.25">
      <c r="A49" s="10" t="s">
        <v>190</v>
      </c>
      <c r="B49" s="10">
        <v>22201</v>
      </c>
      <c r="C49" s="8" t="s">
        <v>48</v>
      </c>
      <c r="D49" s="58">
        <v>31600</v>
      </c>
      <c r="E49" s="9"/>
    </row>
    <row r="50" spans="1:5" x14ac:dyDescent="0.25">
      <c r="A50" s="10" t="s">
        <v>191</v>
      </c>
      <c r="B50" s="10">
        <v>23101</v>
      </c>
      <c r="C50" s="8" t="s">
        <v>49</v>
      </c>
      <c r="D50" s="58">
        <f>155300+172300</f>
        <v>327600</v>
      </c>
      <c r="E50" s="9"/>
    </row>
    <row r="51" spans="1:5" x14ac:dyDescent="0.25">
      <c r="A51" s="10" t="s">
        <v>192</v>
      </c>
      <c r="B51" s="10">
        <v>23201</v>
      </c>
      <c r="C51" s="8" t="s">
        <v>50</v>
      </c>
      <c r="D51" s="58"/>
      <c r="E51" s="9"/>
    </row>
    <row r="52" spans="1:5" x14ac:dyDescent="0.25">
      <c r="A52" s="10" t="s">
        <v>193</v>
      </c>
      <c r="B52" s="10">
        <v>24101</v>
      </c>
      <c r="C52" s="8" t="s">
        <v>51</v>
      </c>
      <c r="D52" s="58"/>
      <c r="E52" s="9"/>
    </row>
    <row r="53" spans="1:5" x14ac:dyDescent="0.25">
      <c r="A53" s="10" t="s">
        <v>194</v>
      </c>
      <c r="B53" s="10">
        <v>24201</v>
      </c>
      <c r="C53" s="8" t="s">
        <v>52</v>
      </c>
      <c r="D53" s="58"/>
      <c r="E53" s="9"/>
    </row>
    <row r="54" spans="1:5" x14ac:dyDescent="0.25">
      <c r="A54" s="10" t="s">
        <v>195</v>
      </c>
      <c r="B54" s="10">
        <v>24401</v>
      </c>
      <c r="C54" s="8" t="s">
        <v>53</v>
      </c>
      <c r="D54" s="58"/>
      <c r="E54" s="9"/>
    </row>
    <row r="55" spans="1:5" x14ac:dyDescent="0.25">
      <c r="A55" s="10" t="s">
        <v>196</v>
      </c>
      <c r="B55" s="10">
        <v>25101</v>
      </c>
      <c r="C55" s="8" t="s">
        <v>54</v>
      </c>
      <c r="D55" s="58">
        <v>481076.13</v>
      </c>
      <c r="E55" s="9"/>
    </row>
    <row r="56" spans="1:5" x14ac:dyDescent="0.25">
      <c r="A56" s="10"/>
      <c r="B56" s="10">
        <v>25302</v>
      </c>
      <c r="C56" s="8" t="s">
        <v>55</v>
      </c>
      <c r="D56" s="58"/>
      <c r="E56" s="9"/>
    </row>
    <row r="57" spans="1:5" x14ac:dyDescent="0.25">
      <c r="A57" s="10"/>
      <c r="B57" s="10">
        <v>25303</v>
      </c>
      <c r="C57" s="8" t="s">
        <v>56</v>
      </c>
      <c r="D57" s="58"/>
      <c r="E57" s="9"/>
    </row>
    <row r="58" spans="1:5" ht="30" x14ac:dyDescent="0.25">
      <c r="A58" s="10"/>
      <c r="B58" s="10">
        <v>25304</v>
      </c>
      <c r="C58" s="8" t="s">
        <v>57</v>
      </c>
      <c r="D58" s="58"/>
      <c r="E58" s="9"/>
    </row>
    <row r="59" spans="1:5" ht="30" x14ac:dyDescent="0.25">
      <c r="A59" s="10" t="s">
        <v>197</v>
      </c>
      <c r="B59" s="10">
        <v>25401</v>
      </c>
      <c r="C59" s="8" t="s">
        <v>58</v>
      </c>
      <c r="D59" s="58">
        <v>75000</v>
      </c>
      <c r="E59" s="9"/>
    </row>
    <row r="60" spans="1:5" x14ac:dyDescent="0.25">
      <c r="A60" s="10" t="s">
        <v>198</v>
      </c>
      <c r="B60" s="10">
        <v>25801</v>
      </c>
      <c r="C60" s="8" t="s">
        <v>59</v>
      </c>
      <c r="D60" s="9"/>
      <c r="E60" s="9"/>
    </row>
    <row r="61" spans="1:5" ht="30" x14ac:dyDescent="0.25">
      <c r="A61" s="10"/>
      <c r="B61" s="10">
        <v>26101</v>
      </c>
      <c r="C61" s="8" t="s">
        <v>60</v>
      </c>
      <c r="D61" s="9"/>
      <c r="E61" s="9"/>
    </row>
    <row r="62" spans="1:5" x14ac:dyDescent="0.25">
      <c r="A62" s="10" t="s">
        <v>199</v>
      </c>
      <c r="B62" s="10">
        <v>26201</v>
      </c>
      <c r="C62" s="8" t="s">
        <v>61</v>
      </c>
      <c r="D62" s="9"/>
      <c r="E62" s="9"/>
    </row>
    <row r="63" spans="1:5" x14ac:dyDescent="0.25">
      <c r="A63" s="10" t="s">
        <v>200</v>
      </c>
      <c r="B63" s="10">
        <v>26301</v>
      </c>
      <c r="C63" s="8" t="s">
        <v>62</v>
      </c>
      <c r="D63" s="58">
        <v>745677.35</v>
      </c>
      <c r="E63" s="9"/>
    </row>
    <row r="64" spans="1:5" x14ac:dyDescent="0.25">
      <c r="A64" s="10" t="s">
        <v>201</v>
      </c>
      <c r="B64" s="10">
        <v>27101</v>
      </c>
      <c r="C64" s="8" t="s">
        <v>63</v>
      </c>
      <c r="D64" s="9"/>
      <c r="E64" s="9"/>
    </row>
    <row r="65" spans="1:5" x14ac:dyDescent="0.25">
      <c r="A65" s="10" t="s">
        <v>202</v>
      </c>
      <c r="B65" s="10">
        <v>27102</v>
      </c>
      <c r="C65" s="8" t="s">
        <v>64</v>
      </c>
      <c r="D65" s="9"/>
      <c r="E65" s="9"/>
    </row>
    <row r="66" spans="1:5" x14ac:dyDescent="0.25">
      <c r="A66" s="10"/>
      <c r="B66" s="10">
        <v>27104</v>
      </c>
      <c r="C66" s="8" t="s">
        <v>302</v>
      </c>
      <c r="D66" s="9"/>
      <c r="E66" s="9"/>
    </row>
    <row r="67" spans="1:5" x14ac:dyDescent="0.25">
      <c r="A67" s="10" t="s">
        <v>203</v>
      </c>
      <c r="B67" s="10">
        <v>27106</v>
      </c>
      <c r="C67" s="8" t="s">
        <v>65</v>
      </c>
      <c r="D67" s="9"/>
      <c r="E67" s="9"/>
    </row>
    <row r="68" spans="1:5" ht="30" x14ac:dyDescent="0.25">
      <c r="A68" s="10"/>
      <c r="B68" s="10">
        <v>27107</v>
      </c>
      <c r="C68" s="8" t="s">
        <v>66</v>
      </c>
      <c r="D68" s="9"/>
      <c r="E68" s="9"/>
    </row>
    <row r="69" spans="1:5" ht="30" x14ac:dyDescent="0.25">
      <c r="A69" s="10" t="s">
        <v>204</v>
      </c>
      <c r="B69" s="10">
        <v>27201</v>
      </c>
      <c r="C69" s="8" t="s">
        <v>67</v>
      </c>
      <c r="D69" s="9"/>
      <c r="E69" s="9"/>
    </row>
    <row r="70" spans="1:5" x14ac:dyDescent="0.25">
      <c r="A70" s="10"/>
      <c r="B70" s="10">
        <v>27202</v>
      </c>
      <c r="C70" s="8" t="s">
        <v>68</v>
      </c>
      <c r="D70" s="9"/>
      <c r="E70" s="9"/>
    </row>
    <row r="71" spans="1:5" ht="30" x14ac:dyDescent="0.25">
      <c r="A71" s="10"/>
      <c r="B71" s="10">
        <v>272041</v>
      </c>
      <c r="C71" s="8" t="s">
        <v>69</v>
      </c>
      <c r="D71" s="9"/>
      <c r="E71" s="9"/>
    </row>
    <row r="72" spans="1:5" ht="30" x14ac:dyDescent="0.25">
      <c r="A72" s="10" t="s">
        <v>205</v>
      </c>
      <c r="B72" s="10">
        <v>27205</v>
      </c>
      <c r="C72" s="8" t="s">
        <v>70</v>
      </c>
      <c r="D72" s="9"/>
      <c r="E72" s="9"/>
    </row>
    <row r="73" spans="1:5" ht="30" x14ac:dyDescent="0.25">
      <c r="A73" s="10" t="s">
        <v>206</v>
      </c>
      <c r="B73" s="10">
        <v>27206</v>
      </c>
      <c r="C73" s="8" t="s">
        <v>71</v>
      </c>
      <c r="D73" s="58">
        <f>50199.64+17796.29</f>
        <v>67995.929999999993</v>
      </c>
      <c r="E73" s="9"/>
    </row>
    <row r="74" spans="1:5" ht="30" x14ac:dyDescent="0.25">
      <c r="A74" s="10"/>
      <c r="B74" s="10">
        <v>27208</v>
      </c>
      <c r="C74" s="8" t="s">
        <v>315</v>
      </c>
      <c r="D74" s="58">
        <v>444754.86</v>
      </c>
      <c r="E74" s="9"/>
    </row>
    <row r="75" spans="1:5" x14ac:dyDescent="0.25">
      <c r="A75" s="10" t="s">
        <v>207</v>
      </c>
      <c r="B75" s="10">
        <v>28201</v>
      </c>
      <c r="C75" s="8" t="s">
        <v>72</v>
      </c>
      <c r="D75" s="58"/>
      <c r="E75" s="9"/>
    </row>
    <row r="76" spans="1:5" x14ac:dyDescent="0.25">
      <c r="A76" s="10" t="s">
        <v>208</v>
      </c>
      <c r="B76" s="10">
        <v>28401</v>
      </c>
      <c r="C76" s="8" t="s">
        <v>73</v>
      </c>
      <c r="D76" s="58"/>
      <c r="E76" s="9"/>
    </row>
    <row r="77" spans="1:5" x14ac:dyDescent="0.25">
      <c r="A77" s="10" t="s">
        <v>209</v>
      </c>
      <c r="B77" s="10">
        <v>28501</v>
      </c>
      <c r="C77" s="8" t="s">
        <v>74</v>
      </c>
      <c r="D77" s="58"/>
      <c r="E77" s="9"/>
    </row>
    <row r="78" spans="1:5" x14ac:dyDescent="0.25">
      <c r="A78" s="10" t="s">
        <v>210</v>
      </c>
      <c r="B78" s="10">
        <v>28502</v>
      </c>
      <c r="C78" s="8" t="s">
        <v>75</v>
      </c>
      <c r="D78" s="58"/>
      <c r="E78" s="9"/>
    </row>
    <row r="79" spans="1:5" x14ac:dyDescent="0.25">
      <c r="A79" s="10" t="s">
        <v>211</v>
      </c>
      <c r="B79" s="10">
        <v>28503</v>
      </c>
      <c r="C79" s="8" t="s">
        <v>76</v>
      </c>
      <c r="D79" s="58">
        <v>110444.03</v>
      </c>
      <c r="E79" s="9"/>
    </row>
    <row r="80" spans="1:5" x14ac:dyDescent="0.25">
      <c r="A80" s="10" t="s">
        <v>212</v>
      </c>
      <c r="B80" s="13">
        <v>28601</v>
      </c>
      <c r="C80" s="14" t="s">
        <v>77</v>
      </c>
      <c r="D80" s="58"/>
      <c r="E80" s="9"/>
    </row>
    <row r="81" spans="1:5" x14ac:dyDescent="0.25">
      <c r="A81" s="10"/>
      <c r="B81" s="10">
        <v>28602</v>
      </c>
      <c r="C81" s="8" t="s">
        <v>78</v>
      </c>
      <c r="D81" s="58"/>
      <c r="E81" s="9"/>
    </row>
    <row r="82" spans="1:5" ht="30" x14ac:dyDescent="0.25">
      <c r="A82" s="10"/>
      <c r="B82" s="10">
        <v>28701</v>
      </c>
      <c r="C82" s="8" t="s">
        <v>79</v>
      </c>
      <c r="D82" s="58">
        <v>144717.56</v>
      </c>
      <c r="E82" s="9"/>
    </row>
    <row r="83" spans="1:5" x14ac:dyDescent="0.25">
      <c r="A83" s="10"/>
      <c r="B83" s="10">
        <v>28702</v>
      </c>
      <c r="C83" s="8" t="s">
        <v>80</v>
      </c>
      <c r="D83" s="58"/>
      <c r="E83" s="9"/>
    </row>
    <row r="84" spans="1:5" x14ac:dyDescent="0.25">
      <c r="A84" s="10"/>
      <c r="B84" s="10">
        <v>28704</v>
      </c>
      <c r="C84" s="8" t="s">
        <v>81</v>
      </c>
      <c r="D84" s="58"/>
      <c r="E84" s="9"/>
    </row>
    <row r="85" spans="1:5" x14ac:dyDescent="0.25">
      <c r="A85" s="10"/>
      <c r="B85" s="10">
        <v>28705</v>
      </c>
      <c r="C85" s="8" t="s">
        <v>82</v>
      </c>
      <c r="D85" s="58"/>
      <c r="E85" s="9"/>
    </row>
    <row r="86" spans="1:5" x14ac:dyDescent="0.25">
      <c r="A86" s="10" t="s">
        <v>213</v>
      </c>
      <c r="B86" s="10">
        <v>28706</v>
      </c>
      <c r="C86" s="8" t="s">
        <v>83</v>
      </c>
      <c r="D86" s="58">
        <f>40000+30000</f>
        <v>70000</v>
      </c>
      <c r="E86" s="9"/>
    </row>
    <row r="87" spans="1:5" x14ac:dyDescent="0.25">
      <c r="A87" s="10" t="s">
        <v>214</v>
      </c>
      <c r="B87" s="10">
        <v>28801</v>
      </c>
      <c r="C87" s="8" t="s">
        <v>84</v>
      </c>
      <c r="D87" s="9"/>
      <c r="E87" s="9"/>
    </row>
    <row r="88" spans="1:5" x14ac:dyDescent="0.25">
      <c r="A88" s="10"/>
      <c r="B88" s="10">
        <v>28802</v>
      </c>
      <c r="C88" s="8" t="s">
        <v>85</v>
      </c>
      <c r="D88" s="9">
        <v>35741.360000000001</v>
      </c>
      <c r="E88" s="9"/>
    </row>
    <row r="89" spans="1:5" x14ac:dyDescent="0.25">
      <c r="A89" s="10"/>
      <c r="B89" s="10">
        <v>28803</v>
      </c>
      <c r="C89" s="8" t="s">
        <v>85</v>
      </c>
      <c r="D89" s="9">
        <v>22025.58</v>
      </c>
      <c r="E89" s="9"/>
    </row>
    <row r="90" spans="1:5" x14ac:dyDescent="0.25">
      <c r="A90" s="10"/>
      <c r="B90" s="10">
        <v>28804</v>
      </c>
      <c r="C90" s="8" t="s">
        <v>85</v>
      </c>
      <c r="D90" s="9">
        <v>29397.52</v>
      </c>
      <c r="E90" s="9"/>
    </row>
    <row r="91" spans="1:5" x14ac:dyDescent="0.25">
      <c r="A91" s="10"/>
      <c r="B91" s="10">
        <v>29101</v>
      </c>
      <c r="C91" s="8" t="s">
        <v>323</v>
      </c>
      <c r="D91" s="9"/>
      <c r="E91" s="9"/>
    </row>
    <row r="92" spans="1:5" x14ac:dyDescent="0.25">
      <c r="A92" s="10"/>
      <c r="B92" s="10">
        <v>29201</v>
      </c>
      <c r="C92" s="8" t="s">
        <v>265</v>
      </c>
      <c r="D92" s="58">
        <v>2493717.6</v>
      </c>
      <c r="E92" s="9"/>
    </row>
    <row r="93" spans="1:5" x14ac:dyDescent="0.25">
      <c r="A93" s="11"/>
      <c r="B93" s="11">
        <v>3</v>
      </c>
      <c r="C93" s="5" t="s">
        <v>86</v>
      </c>
      <c r="D93" s="12">
        <f>SUM(D94:D145)</f>
        <v>17138966.340000004</v>
      </c>
      <c r="E93" s="12"/>
    </row>
    <row r="94" spans="1:5" x14ac:dyDescent="0.25">
      <c r="A94" s="10" t="s">
        <v>215</v>
      </c>
      <c r="B94" s="13">
        <v>31101</v>
      </c>
      <c r="C94" s="14" t="s">
        <v>87</v>
      </c>
      <c r="D94" s="9"/>
      <c r="E94" s="9"/>
    </row>
    <row r="95" spans="1:5" x14ac:dyDescent="0.25">
      <c r="A95" s="10" t="s">
        <v>216</v>
      </c>
      <c r="B95" s="10">
        <v>31303</v>
      </c>
      <c r="C95" s="8" t="s">
        <v>316</v>
      </c>
      <c r="D95" s="9"/>
      <c r="E95" s="9"/>
    </row>
    <row r="96" spans="1:5" x14ac:dyDescent="0.25">
      <c r="A96" s="10" t="s">
        <v>217</v>
      </c>
      <c r="B96" s="10">
        <v>31401</v>
      </c>
      <c r="C96" s="8" t="s">
        <v>88</v>
      </c>
      <c r="D96" s="9"/>
      <c r="E96" s="9"/>
    </row>
    <row r="97" spans="1:5" x14ac:dyDescent="0.25">
      <c r="A97" s="10" t="s">
        <v>218</v>
      </c>
      <c r="B97" s="10">
        <v>32101</v>
      </c>
      <c r="C97" s="8" t="s">
        <v>89</v>
      </c>
      <c r="D97" s="9"/>
      <c r="E97" s="9"/>
    </row>
    <row r="98" spans="1:5" x14ac:dyDescent="0.25">
      <c r="A98" s="10" t="s">
        <v>219</v>
      </c>
      <c r="B98" s="10">
        <v>32201</v>
      </c>
      <c r="C98" s="8" t="s">
        <v>90</v>
      </c>
      <c r="D98" s="9"/>
      <c r="E98" s="9"/>
    </row>
    <row r="99" spans="1:5" x14ac:dyDescent="0.25">
      <c r="A99" s="10" t="s">
        <v>220</v>
      </c>
      <c r="B99" s="10">
        <v>32301</v>
      </c>
      <c r="C99" s="8" t="s">
        <v>91</v>
      </c>
      <c r="D99" s="58">
        <v>15199.91</v>
      </c>
      <c r="E99" s="9"/>
    </row>
    <row r="100" spans="1:5" x14ac:dyDescent="0.25">
      <c r="A100" s="10" t="s">
        <v>221</v>
      </c>
      <c r="B100" s="10">
        <v>32401</v>
      </c>
      <c r="C100" s="8" t="s">
        <v>92</v>
      </c>
      <c r="D100" s="58"/>
      <c r="E100" s="9"/>
    </row>
    <row r="101" spans="1:5" x14ac:dyDescent="0.25">
      <c r="A101" s="10" t="s">
        <v>222</v>
      </c>
      <c r="B101" s="10">
        <v>33101</v>
      </c>
      <c r="C101" s="8" t="s">
        <v>93</v>
      </c>
      <c r="D101" s="58"/>
      <c r="E101" s="9"/>
    </row>
    <row r="102" spans="1:5" x14ac:dyDescent="0.25">
      <c r="A102" s="10" t="s">
        <v>223</v>
      </c>
      <c r="B102" s="10">
        <v>33201</v>
      </c>
      <c r="C102" s="8" t="s">
        <v>94</v>
      </c>
      <c r="D102" s="58"/>
      <c r="E102" s="9"/>
    </row>
    <row r="103" spans="1:5" x14ac:dyDescent="0.25">
      <c r="A103" s="10" t="s">
        <v>224</v>
      </c>
      <c r="B103" s="10">
        <v>33301</v>
      </c>
      <c r="C103" s="8" t="s">
        <v>95</v>
      </c>
      <c r="D103" s="58"/>
      <c r="E103" s="9"/>
    </row>
    <row r="104" spans="1:5" x14ac:dyDescent="0.25">
      <c r="A104" s="10" t="s">
        <v>225</v>
      </c>
      <c r="B104" s="10">
        <v>33401</v>
      </c>
      <c r="C104" s="8" t="s">
        <v>96</v>
      </c>
      <c r="D104" s="58"/>
      <c r="E104" s="9"/>
    </row>
    <row r="105" spans="1:5" x14ac:dyDescent="0.25">
      <c r="A105" s="10" t="s">
        <v>226</v>
      </c>
      <c r="B105" s="10">
        <v>33601</v>
      </c>
      <c r="C105" s="8" t="s">
        <v>97</v>
      </c>
      <c r="D105" s="58">
        <v>14583333</v>
      </c>
      <c r="E105" s="9"/>
    </row>
    <row r="106" spans="1:5" x14ac:dyDescent="0.25">
      <c r="A106" s="10" t="s">
        <v>227</v>
      </c>
      <c r="B106" s="10">
        <v>34101</v>
      </c>
      <c r="C106" s="8" t="s">
        <v>98</v>
      </c>
      <c r="D106" s="58">
        <v>1014543</v>
      </c>
      <c r="E106" s="9"/>
    </row>
    <row r="107" spans="1:5" x14ac:dyDescent="0.25">
      <c r="A107" s="10" t="s">
        <v>228</v>
      </c>
      <c r="B107" s="10">
        <v>35101</v>
      </c>
      <c r="C107" s="8" t="s">
        <v>99</v>
      </c>
      <c r="D107" s="9"/>
      <c r="E107" s="9"/>
    </row>
    <row r="108" spans="1:5" x14ac:dyDescent="0.25">
      <c r="A108" s="10" t="s">
        <v>229</v>
      </c>
      <c r="B108" s="10">
        <v>35201</v>
      </c>
      <c r="C108" s="8" t="s">
        <v>100</v>
      </c>
      <c r="D108" s="9"/>
      <c r="E108" s="9"/>
    </row>
    <row r="109" spans="1:5" x14ac:dyDescent="0.25">
      <c r="A109" s="10" t="s">
        <v>230</v>
      </c>
      <c r="B109" s="10">
        <v>35301</v>
      </c>
      <c r="C109" s="8" t="s">
        <v>101</v>
      </c>
      <c r="D109" s="9"/>
      <c r="E109" s="9"/>
    </row>
    <row r="110" spans="1:5" x14ac:dyDescent="0.25">
      <c r="A110" s="10" t="s">
        <v>231</v>
      </c>
      <c r="B110" s="10">
        <v>35401</v>
      </c>
      <c r="C110" s="8" t="s">
        <v>102</v>
      </c>
      <c r="D110" s="9"/>
      <c r="E110" s="9"/>
    </row>
    <row r="111" spans="1:5" x14ac:dyDescent="0.25">
      <c r="A111" s="10" t="s">
        <v>232</v>
      </c>
      <c r="B111" s="10">
        <v>35501</v>
      </c>
      <c r="C111" s="8" t="s">
        <v>103</v>
      </c>
      <c r="D111" s="58">
        <v>2879.97</v>
      </c>
      <c r="E111" s="9"/>
    </row>
    <row r="112" spans="1:5" x14ac:dyDescent="0.25">
      <c r="A112" s="10" t="s">
        <v>233</v>
      </c>
      <c r="B112" s="10">
        <v>36101</v>
      </c>
      <c r="C112" s="8" t="s">
        <v>104</v>
      </c>
      <c r="D112" s="9"/>
      <c r="E112" s="9"/>
    </row>
    <row r="113" spans="1:9" x14ac:dyDescent="0.25">
      <c r="A113" s="10"/>
      <c r="B113" s="10">
        <v>36102</v>
      </c>
      <c r="C113" s="8" t="s">
        <v>311</v>
      </c>
      <c r="D113" s="9"/>
      <c r="E113" s="9"/>
    </row>
    <row r="114" spans="1:9" x14ac:dyDescent="0.25">
      <c r="A114" s="10" t="s">
        <v>234</v>
      </c>
      <c r="B114" s="10">
        <v>36104</v>
      </c>
      <c r="C114" s="8" t="s">
        <v>105</v>
      </c>
      <c r="D114" s="9"/>
      <c r="E114" s="9"/>
    </row>
    <row r="115" spans="1:9" x14ac:dyDescent="0.25">
      <c r="A115" s="10" t="s">
        <v>235</v>
      </c>
      <c r="B115" s="10">
        <v>36201</v>
      </c>
      <c r="C115" s="8" t="s">
        <v>106</v>
      </c>
      <c r="D115" s="9"/>
      <c r="E115" s="9"/>
    </row>
    <row r="116" spans="1:9" x14ac:dyDescent="0.25">
      <c r="A116" s="10" t="s">
        <v>236</v>
      </c>
      <c r="B116" s="10">
        <v>36202</v>
      </c>
      <c r="C116" s="8" t="s">
        <v>107</v>
      </c>
      <c r="D116" s="9"/>
      <c r="E116" s="9"/>
    </row>
    <row r="117" spans="1:9" x14ac:dyDescent="0.25">
      <c r="A117" s="10" t="s">
        <v>237</v>
      </c>
      <c r="B117" s="10">
        <v>36203</v>
      </c>
      <c r="C117" s="8" t="s">
        <v>108</v>
      </c>
      <c r="D117" s="9"/>
      <c r="E117" s="9"/>
    </row>
    <row r="118" spans="1:9" x14ac:dyDescent="0.25">
      <c r="A118" s="10" t="s">
        <v>238</v>
      </c>
      <c r="B118" s="10">
        <v>36301</v>
      </c>
      <c r="C118" s="8" t="s">
        <v>109</v>
      </c>
      <c r="D118" s="9"/>
      <c r="E118" s="9"/>
    </row>
    <row r="119" spans="1:9" x14ac:dyDescent="0.25">
      <c r="A119" s="10"/>
      <c r="B119" s="10">
        <v>36302</v>
      </c>
      <c r="C119" s="8" t="s">
        <v>107</v>
      </c>
      <c r="D119" s="9"/>
      <c r="E119" s="9"/>
    </row>
    <row r="120" spans="1:9" x14ac:dyDescent="0.25">
      <c r="A120" s="10" t="s">
        <v>239</v>
      </c>
      <c r="B120" s="10">
        <v>36303</v>
      </c>
      <c r="C120" s="8" t="s">
        <v>110</v>
      </c>
      <c r="D120" s="9"/>
      <c r="E120" s="9"/>
    </row>
    <row r="121" spans="1:9" x14ac:dyDescent="0.25">
      <c r="A121" s="10" t="s">
        <v>240</v>
      </c>
      <c r="B121" s="10">
        <v>36304</v>
      </c>
      <c r="C121" s="8" t="s">
        <v>111</v>
      </c>
      <c r="D121" s="58">
        <v>11969.95</v>
      </c>
      <c r="E121" s="9"/>
    </row>
    <row r="122" spans="1:9" s="1" customFormat="1" x14ac:dyDescent="0.25">
      <c r="A122" s="10" t="s">
        <v>240</v>
      </c>
      <c r="B122" s="10">
        <v>36306</v>
      </c>
      <c r="C122" s="8" t="s">
        <v>112</v>
      </c>
      <c r="D122" s="58"/>
      <c r="E122" s="9"/>
      <c r="G122"/>
      <c r="H122"/>
      <c r="I122"/>
    </row>
    <row r="123" spans="1:9" s="1" customFormat="1" x14ac:dyDescent="0.25">
      <c r="A123" s="10"/>
      <c r="B123" s="56">
        <v>36307</v>
      </c>
      <c r="C123" s="57" t="s">
        <v>357</v>
      </c>
      <c r="D123" s="58">
        <v>6199.84</v>
      </c>
      <c r="E123" s="9"/>
      <c r="G123"/>
      <c r="H123"/>
      <c r="I123"/>
    </row>
    <row r="124" spans="1:9" s="1" customFormat="1" x14ac:dyDescent="0.25">
      <c r="A124" s="10"/>
      <c r="B124" s="56">
        <v>36401</v>
      </c>
      <c r="C124" s="57"/>
      <c r="D124" s="58"/>
      <c r="E124" s="9"/>
      <c r="G124"/>
      <c r="H124"/>
      <c r="I124"/>
    </row>
    <row r="125" spans="1:9" s="1" customFormat="1" x14ac:dyDescent="0.25">
      <c r="A125" s="10" t="s">
        <v>234</v>
      </c>
      <c r="B125" s="56">
        <v>36403</v>
      </c>
      <c r="C125" s="57" t="s">
        <v>113</v>
      </c>
      <c r="D125" s="58"/>
      <c r="E125" s="9"/>
      <c r="G125"/>
      <c r="H125"/>
      <c r="I125"/>
    </row>
    <row r="126" spans="1:9" s="1" customFormat="1" x14ac:dyDescent="0.25">
      <c r="A126" s="10" t="s">
        <v>241</v>
      </c>
      <c r="B126" s="56">
        <v>37101</v>
      </c>
      <c r="C126" s="57" t="s">
        <v>114</v>
      </c>
      <c r="D126" s="58"/>
      <c r="E126" s="9"/>
      <c r="G126"/>
      <c r="H126"/>
      <c r="I126"/>
    </row>
    <row r="127" spans="1:9" s="1" customFormat="1" x14ac:dyDescent="0.25">
      <c r="A127" s="10" t="s">
        <v>242</v>
      </c>
      <c r="B127" s="56">
        <v>37102</v>
      </c>
      <c r="C127" s="57" t="s">
        <v>115</v>
      </c>
      <c r="D127" s="58"/>
      <c r="E127" s="9"/>
      <c r="G127"/>
      <c r="H127"/>
      <c r="I127"/>
    </row>
    <row r="128" spans="1:9" s="1" customFormat="1" x14ac:dyDescent="0.25">
      <c r="A128" s="10" t="s">
        <v>243</v>
      </c>
      <c r="B128" s="56">
        <v>37104</v>
      </c>
      <c r="C128" s="57" t="s">
        <v>116</v>
      </c>
      <c r="D128" s="58"/>
      <c r="E128" s="9"/>
      <c r="G128"/>
      <c r="H128"/>
      <c r="I128"/>
    </row>
    <row r="129" spans="1:9" s="1" customFormat="1" x14ac:dyDescent="0.25">
      <c r="A129" s="10" t="s">
        <v>244</v>
      </c>
      <c r="B129" s="56">
        <v>37105</v>
      </c>
      <c r="C129" s="57" t="s">
        <v>117</v>
      </c>
      <c r="D129" s="58">
        <v>639.98</v>
      </c>
      <c r="E129" s="9"/>
      <c r="G129"/>
      <c r="H129"/>
      <c r="I129"/>
    </row>
    <row r="130" spans="1:9" s="1" customFormat="1" x14ac:dyDescent="0.25">
      <c r="A130" s="10" t="s">
        <v>245</v>
      </c>
      <c r="B130" s="56">
        <v>37106</v>
      </c>
      <c r="C130" s="57" t="s">
        <v>118</v>
      </c>
      <c r="D130" s="58"/>
      <c r="E130" s="9"/>
      <c r="G130"/>
      <c r="H130"/>
      <c r="I130"/>
    </row>
    <row r="131" spans="1:9" s="1" customFormat="1" x14ac:dyDescent="0.25">
      <c r="A131" s="10"/>
      <c r="B131" s="56">
        <v>37201</v>
      </c>
      <c r="C131" s="57" t="s">
        <v>358</v>
      </c>
      <c r="D131" s="58">
        <v>814.99</v>
      </c>
      <c r="E131" s="9"/>
      <c r="G131"/>
      <c r="H131"/>
      <c r="I131"/>
    </row>
    <row r="132" spans="1:9" s="1" customFormat="1" x14ac:dyDescent="0.25">
      <c r="A132" s="10" t="s">
        <v>246</v>
      </c>
      <c r="B132" s="10">
        <v>37205</v>
      </c>
      <c r="C132" s="8" t="s">
        <v>119</v>
      </c>
      <c r="D132" s="9"/>
      <c r="E132" s="9"/>
      <c r="G132"/>
      <c r="H132"/>
      <c r="I132"/>
    </row>
    <row r="133" spans="1:9" s="1" customFormat="1" x14ac:dyDescent="0.25">
      <c r="A133" s="10" t="s">
        <v>247</v>
      </c>
      <c r="B133" s="10">
        <v>37203</v>
      </c>
      <c r="C133" s="8" t="s">
        <v>120</v>
      </c>
      <c r="D133" s="9"/>
      <c r="E133" s="9"/>
      <c r="G133"/>
      <c r="H133"/>
      <c r="I133"/>
    </row>
    <row r="134" spans="1:9" s="1" customFormat="1" x14ac:dyDescent="0.25">
      <c r="A134" s="10" t="s">
        <v>248</v>
      </c>
      <c r="B134" s="10">
        <v>37206</v>
      </c>
      <c r="C134" s="8" t="s">
        <v>121</v>
      </c>
      <c r="D134" s="9"/>
      <c r="E134" s="9"/>
      <c r="G134"/>
      <c r="H134"/>
      <c r="I134"/>
    </row>
    <row r="135" spans="1:9" s="1" customFormat="1" x14ac:dyDescent="0.25">
      <c r="A135" s="10"/>
      <c r="B135" s="56">
        <v>37299</v>
      </c>
      <c r="C135" s="57" t="s">
        <v>359</v>
      </c>
      <c r="D135" s="58">
        <v>40000</v>
      </c>
      <c r="E135" s="9"/>
      <c r="G135"/>
      <c r="H135"/>
      <c r="I135"/>
    </row>
    <row r="136" spans="1:9" s="1" customFormat="1" x14ac:dyDescent="0.25">
      <c r="A136" s="10" t="s">
        <v>249</v>
      </c>
      <c r="B136" s="56">
        <v>39101</v>
      </c>
      <c r="C136" s="57" t="s">
        <v>122</v>
      </c>
      <c r="D136" s="58">
        <v>590</v>
      </c>
      <c r="E136" s="9"/>
      <c r="G136"/>
      <c r="H136"/>
      <c r="I136"/>
    </row>
    <row r="137" spans="1:9" s="1" customFormat="1" ht="30" x14ac:dyDescent="0.25">
      <c r="A137" s="10" t="s">
        <v>250</v>
      </c>
      <c r="B137" s="56">
        <v>39201</v>
      </c>
      <c r="C137" s="57" t="s">
        <v>123</v>
      </c>
      <c r="D137" s="58">
        <v>300406.05</v>
      </c>
      <c r="E137" s="9"/>
      <c r="G137"/>
      <c r="H137"/>
      <c r="I137"/>
    </row>
    <row r="138" spans="1:9" s="1" customFormat="1" x14ac:dyDescent="0.25">
      <c r="A138" s="10"/>
      <c r="B138" s="56">
        <v>39301</v>
      </c>
      <c r="C138" s="57"/>
      <c r="D138" s="58">
        <v>155260</v>
      </c>
      <c r="E138" s="9"/>
      <c r="G138"/>
      <c r="H138"/>
      <c r="I138"/>
    </row>
    <row r="139" spans="1:9" s="1" customFormat="1" x14ac:dyDescent="0.25">
      <c r="A139" s="10" t="s">
        <v>251</v>
      </c>
      <c r="B139" s="56">
        <v>39501</v>
      </c>
      <c r="C139" s="57" t="s">
        <v>124</v>
      </c>
      <c r="D139" s="58"/>
      <c r="E139" s="9"/>
      <c r="G139"/>
      <c r="H139"/>
      <c r="I139"/>
    </row>
    <row r="140" spans="1:9" s="1" customFormat="1" x14ac:dyDescent="0.25">
      <c r="A140" s="10" t="s">
        <v>252</v>
      </c>
      <c r="B140" s="10">
        <v>39601</v>
      </c>
      <c r="C140" s="8" t="s">
        <v>125</v>
      </c>
      <c r="D140" s="58">
        <v>865262.94</v>
      </c>
      <c r="E140" s="9"/>
      <c r="G140"/>
      <c r="H140"/>
      <c r="I140"/>
    </row>
    <row r="141" spans="1:9" s="1" customFormat="1" x14ac:dyDescent="0.25">
      <c r="A141" s="10" t="s">
        <v>253</v>
      </c>
      <c r="B141" s="10">
        <v>39801</v>
      </c>
      <c r="C141" s="8" t="s">
        <v>126</v>
      </c>
      <c r="D141" s="58">
        <v>16399.97</v>
      </c>
      <c r="E141" s="9"/>
      <c r="G141"/>
      <c r="H141"/>
      <c r="I141"/>
    </row>
    <row r="142" spans="1:9" s="1" customFormat="1" x14ac:dyDescent="0.25">
      <c r="A142" s="10" t="s">
        <v>254</v>
      </c>
      <c r="B142" s="10">
        <v>39901</v>
      </c>
      <c r="C142" s="8" t="s">
        <v>127</v>
      </c>
      <c r="D142" s="58">
        <v>90866.8</v>
      </c>
      <c r="E142" s="9"/>
      <c r="G142"/>
      <c r="H142"/>
      <c r="I142"/>
    </row>
    <row r="143" spans="1:9" s="1" customFormat="1" x14ac:dyDescent="0.25">
      <c r="A143" s="10" t="s">
        <v>254</v>
      </c>
      <c r="B143" s="10">
        <v>39902</v>
      </c>
      <c r="C143" s="8" t="s">
        <v>128</v>
      </c>
      <c r="D143" s="58"/>
      <c r="E143" s="9"/>
      <c r="G143"/>
      <c r="H143"/>
      <c r="I143"/>
    </row>
    <row r="144" spans="1:9" s="1" customFormat="1" x14ac:dyDescent="0.25">
      <c r="A144" s="10"/>
      <c r="B144" s="10">
        <v>39904</v>
      </c>
      <c r="C144" s="8" t="s">
        <v>324</v>
      </c>
      <c r="D144" s="58">
        <v>34599.94</v>
      </c>
      <c r="E144" s="9"/>
      <c r="G144"/>
      <c r="H144"/>
      <c r="I144"/>
    </row>
    <row r="145" spans="1:9" s="1" customFormat="1" x14ac:dyDescent="0.25">
      <c r="A145" s="10"/>
      <c r="B145" s="10">
        <v>39905</v>
      </c>
      <c r="C145" s="8" t="s">
        <v>354</v>
      </c>
      <c r="D145" s="9"/>
      <c r="E145" s="9"/>
      <c r="G145"/>
      <c r="H145"/>
      <c r="I145"/>
    </row>
    <row r="146" spans="1:9" s="1" customFormat="1" ht="26.25" x14ac:dyDescent="0.25">
      <c r="A146" s="11"/>
      <c r="B146" s="11">
        <v>4</v>
      </c>
      <c r="C146" s="5" t="s">
        <v>129</v>
      </c>
      <c r="D146" s="12">
        <f>SUM(D147:D157)</f>
        <v>11568.26</v>
      </c>
      <c r="E146" s="12"/>
      <c r="G146"/>
      <c r="H146"/>
      <c r="I146"/>
    </row>
    <row r="147" spans="1:9" s="1" customFormat="1" x14ac:dyDescent="0.25">
      <c r="A147" s="10" t="s">
        <v>255</v>
      </c>
      <c r="B147" s="13">
        <v>41103</v>
      </c>
      <c r="C147" s="14" t="s">
        <v>130</v>
      </c>
      <c r="D147" s="9"/>
      <c r="E147" s="9"/>
      <c r="G147"/>
      <c r="H147"/>
      <c r="I147"/>
    </row>
    <row r="148" spans="1:9" s="1" customFormat="1" ht="30" x14ac:dyDescent="0.25">
      <c r="A148" s="10" t="s">
        <v>256</v>
      </c>
      <c r="B148" s="10">
        <v>41201</v>
      </c>
      <c r="C148" s="8" t="s">
        <v>131</v>
      </c>
      <c r="D148" s="9"/>
      <c r="E148" s="9"/>
      <c r="G148"/>
      <c r="H148"/>
      <c r="I148"/>
    </row>
    <row r="149" spans="1:9" s="1" customFormat="1" ht="30" x14ac:dyDescent="0.25">
      <c r="A149" s="10" t="s">
        <v>257</v>
      </c>
      <c r="B149" s="10">
        <v>41202</v>
      </c>
      <c r="C149" s="8" t="s">
        <v>132</v>
      </c>
      <c r="D149" s="58">
        <v>11568.26</v>
      </c>
      <c r="E149" s="9"/>
      <c r="G149"/>
      <c r="H149"/>
      <c r="I149"/>
    </row>
    <row r="150" spans="1:9" s="1" customFormat="1" x14ac:dyDescent="0.25">
      <c r="A150" s="10"/>
      <c r="B150" s="10">
        <v>41401</v>
      </c>
      <c r="C150" s="8" t="s">
        <v>133</v>
      </c>
      <c r="D150" s="9"/>
      <c r="E150" s="9"/>
      <c r="G150"/>
      <c r="H150"/>
      <c r="I150"/>
    </row>
    <row r="151" spans="1:9" s="1" customFormat="1" x14ac:dyDescent="0.25">
      <c r="A151" s="10" t="s">
        <v>258</v>
      </c>
      <c r="B151" s="10">
        <v>41402</v>
      </c>
      <c r="C151" s="8" t="s">
        <v>134</v>
      </c>
      <c r="D151" s="9"/>
      <c r="E151" s="9"/>
      <c r="G151"/>
      <c r="H151"/>
      <c r="I151"/>
    </row>
    <row r="152" spans="1:9" s="1" customFormat="1" ht="30" x14ac:dyDescent="0.25">
      <c r="A152" s="10"/>
      <c r="B152" s="10">
        <v>41501</v>
      </c>
      <c r="C152" s="8" t="s">
        <v>135</v>
      </c>
      <c r="D152" s="9"/>
      <c r="E152" s="9"/>
      <c r="G152"/>
      <c r="H152"/>
      <c r="I152"/>
    </row>
    <row r="153" spans="1:9" s="1" customFormat="1" ht="30" x14ac:dyDescent="0.25">
      <c r="A153" s="10"/>
      <c r="B153" s="10">
        <v>41601</v>
      </c>
      <c r="C153" s="8" t="s">
        <v>136</v>
      </c>
      <c r="D153" s="9"/>
      <c r="E153" s="9"/>
      <c r="G153"/>
      <c r="H153"/>
      <c r="I153"/>
    </row>
    <row r="154" spans="1:9" s="1" customFormat="1" x14ac:dyDescent="0.25">
      <c r="A154" s="10"/>
      <c r="B154" s="10">
        <v>41605</v>
      </c>
      <c r="C154" s="8" t="s">
        <v>312</v>
      </c>
      <c r="D154" s="9"/>
      <c r="E154" s="9"/>
      <c r="G154"/>
      <c r="H154"/>
      <c r="I154"/>
    </row>
    <row r="155" spans="1:9" s="1" customFormat="1" ht="30" x14ac:dyDescent="0.25">
      <c r="A155" s="10"/>
      <c r="B155" s="10">
        <v>421105</v>
      </c>
      <c r="C155" s="8" t="s">
        <v>318</v>
      </c>
      <c r="D155" s="9"/>
      <c r="E155" s="9"/>
      <c r="G155"/>
      <c r="H155"/>
      <c r="I155"/>
    </row>
    <row r="156" spans="1:9" s="1" customFormat="1" ht="30" x14ac:dyDescent="0.25">
      <c r="A156" s="10"/>
      <c r="B156" s="10">
        <v>421903</v>
      </c>
      <c r="C156" s="8" t="s">
        <v>317</v>
      </c>
      <c r="D156" s="9"/>
      <c r="E156" s="9"/>
      <c r="G156"/>
      <c r="H156"/>
      <c r="I156"/>
    </row>
    <row r="157" spans="1:9" s="1" customFormat="1" x14ac:dyDescent="0.25">
      <c r="A157" s="10" t="s">
        <v>259</v>
      </c>
      <c r="B157" s="10">
        <v>44102</v>
      </c>
      <c r="C157" s="8" t="s">
        <v>137</v>
      </c>
      <c r="D157" s="9"/>
      <c r="E157" s="9"/>
      <c r="G157"/>
      <c r="H157"/>
      <c r="I157"/>
    </row>
    <row r="158" spans="1:9" s="1" customFormat="1" x14ac:dyDescent="0.25">
      <c r="A158" s="11"/>
      <c r="B158" s="11">
        <v>62501</v>
      </c>
      <c r="C158" s="15" t="s">
        <v>138</v>
      </c>
      <c r="D158" s="16"/>
      <c r="E158" s="16"/>
      <c r="G158"/>
      <c r="H158"/>
      <c r="I158"/>
    </row>
    <row r="159" spans="1:9" s="1" customFormat="1" x14ac:dyDescent="0.25">
      <c r="A159" s="11"/>
      <c r="B159" s="11" t="s">
        <v>298</v>
      </c>
      <c r="C159" s="15" t="s">
        <v>299</v>
      </c>
      <c r="D159" s="16">
        <v>133000</v>
      </c>
      <c r="E159" s="16"/>
      <c r="G159"/>
      <c r="H159"/>
      <c r="I159"/>
    </row>
    <row r="160" spans="1:9" s="1" customFormat="1" x14ac:dyDescent="0.25">
      <c r="A160" s="10"/>
      <c r="B160" s="13"/>
      <c r="C160" s="14" t="s">
        <v>18</v>
      </c>
      <c r="D160" s="17"/>
      <c r="E160" s="18">
        <f>+E9-E16</f>
        <v>265529192.69000006</v>
      </c>
      <c r="G160"/>
      <c r="H160"/>
      <c r="I160"/>
    </row>
    <row r="161" spans="1:9" s="1" customFormat="1" x14ac:dyDescent="0.25">
      <c r="A161" s="10"/>
      <c r="B161" s="10" t="s">
        <v>142</v>
      </c>
      <c r="C161" s="14"/>
      <c r="D161" s="10"/>
      <c r="E161" s="10"/>
      <c r="G161"/>
      <c r="H161"/>
      <c r="I161"/>
    </row>
    <row r="162" spans="1:9" s="1" customFormat="1" x14ac:dyDescent="0.25">
      <c r="A162" s="10"/>
      <c r="B162" s="10"/>
      <c r="C162" s="14" t="s">
        <v>18</v>
      </c>
      <c r="D162" s="19">
        <f>+E160</f>
        <v>265529192.69000006</v>
      </c>
      <c r="E162" s="10"/>
      <c r="G162"/>
      <c r="H162"/>
      <c r="I162"/>
    </row>
    <row r="163" spans="1:9" s="1" customFormat="1" x14ac:dyDescent="0.25">
      <c r="A163" s="10"/>
      <c r="B163" s="10"/>
      <c r="C163" s="14" t="s">
        <v>143</v>
      </c>
      <c r="D163" s="10"/>
      <c r="E163" s="19">
        <f>+D162</f>
        <v>265529192.69000006</v>
      </c>
      <c r="G163"/>
      <c r="H163"/>
      <c r="I163"/>
    </row>
    <row r="164" spans="1:9" s="1" customFormat="1" x14ac:dyDescent="0.25">
      <c r="A164" s="10"/>
      <c r="B164" s="10" t="s">
        <v>144</v>
      </c>
      <c r="C164" s="10"/>
      <c r="D164" s="10"/>
      <c r="E164" s="10"/>
      <c r="G164"/>
      <c r="H164"/>
      <c r="I164"/>
    </row>
    <row r="165" spans="1:9" s="1" customFormat="1" x14ac:dyDescent="0.25">
      <c r="A165" s="10"/>
      <c r="B165" s="10"/>
      <c r="C165" s="14" t="s">
        <v>145</v>
      </c>
      <c r="D165" s="19">
        <f>+D162</f>
        <v>265529192.69000006</v>
      </c>
      <c r="E165" s="10"/>
      <c r="G165"/>
      <c r="H165"/>
      <c r="I165"/>
    </row>
    <row r="166" spans="1:9" s="1" customFormat="1" x14ac:dyDescent="0.25">
      <c r="A166" s="10"/>
      <c r="B166" s="10"/>
      <c r="C166" s="14" t="s">
        <v>143</v>
      </c>
      <c r="D166" s="10"/>
      <c r="E166" s="19">
        <f>+E163</f>
        <v>265529192.69000006</v>
      </c>
      <c r="G166"/>
      <c r="H166"/>
      <c r="I166"/>
    </row>
    <row r="167" spans="1:9" s="1" customFormat="1" x14ac:dyDescent="0.25">
      <c r="A167" s="10"/>
      <c r="B167" s="10" t="s">
        <v>146</v>
      </c>
      <c r="C167" s="10"/>
      <c r="D167" s="10"/>
      <c r="E167" s="10"/>
      <c r="G167"/>
      <c r="H167"/>
      <c r="I167"/>
    </row>
    <row r="168" spans="1:9" s="1" customFormat="1" x14ac:dyDescent="0.25">
      <c r="A168" s="11"/>
      <c r="B168" s="11" t="s">
        <v>147</v>
      </c>
      <c r="C168" s="11"/>
      <c r="D168" s="20">
        <f>+E9-E16</f>
        <v>265529192.69000006</v>
      </c>
      <c r="E168" s="20">
        <f>+E166</f>
        <v>265529192.69000006</v>
      </c>
      <c r="G168"/>
      <c r="H168"/>
      <c r="I168"/>
    </row>
    <row r="172" spans="1:9" s="1" customFormat="1" x14ac:dyDescent="0.25">
      <c r="A172"/>
      <c r="B172"/>
      <c r="C172"/>
      <c r="D172"/>
      <c r="E172" s="40"/>
      <c r="G172"/>
      <c r="H172"/>
      <c r="I172"/>
    </row>
    <row r="173" spans="1:9" s="1" customFormat="1" x14ac:dyDescent="0.25">
      <c r="A173"/>
      <c r="B173"/>
      <c r="C173"/>
      <c r="D173"/>
      <c r="E173" s="40"/>
      <c r="G173"/>
      <c r="H173"/>
      <c r="I173"/>
    </row>
    <row r="176" spans="1:9" s="1" customFormat="1" ht="26.25" x14ac:dyDescent="0.25">
      <c r="A176" s="25" t="s">
        <v>261</v>
      </c>
      <c r="B176" s="11">
        <v>6</v>
      </c>
      <c r="C176" s="5" t="s">
        <v>148</v>
      </c>
      <c r="D176" s="12">
        <f>SUM(D177:D195)</f>
        <v>76009.97</v>
      </c>
      <c r="E176" s="21"/>
      <c r="G176"/>
      <c r="H176"/>
      <c r="I176"/>
    </row>
    <row r="177" spans="1:9" s="1" customFormat="1" x14ac:dyDescent="0.25">
      <c r="A177" s="29">
        <v>1206010007</v>
      </c>
      <c r="B177" s="10">
        <v>61101</v>
      </c>
      <c r="C177" s="8" t="s">
        <v>10</v>
      </c>
      <c r="D177" s="9"/>
      <c r="E177" s="22"/>
      <c r="G177"/>
      <c r="H177"/>
      <c r="I177"/>
    </row>
    <row r="178" spans="1:9" s="1" customFormat="1" x14ac:dyDescent="0.25">
      <c r="A178" s="29">
        <v>1206010004</v>
      </c>
      <c r="B178" s="10">
        <v>61301</v>
      </c>
      <c r="C178" s="8" t="s">
        <v>149</v>
      </c>
      <c r="D178" s="9"/>
      <c r="E178" s="22"/>
      <c r="G178"/>
      <c r="H178"/>
      <c r="I178"/>
    </row>
    <row r="179" spans="1:9" s="1" customFormat="1" x14ac:dyDescent="0.25">
      <c r="A179" s="29">
        <v>1206010007</v>
      </c>
      <c r="B179" s="10">
        <v>61401</v>
      </c>
      <c r="C179" s="8" t="s">
        <v>4</v>
      </c>
      <c r="D179" s="9"/>
      <c r="E179" s="22"/>
      <c r="G179"/>
      <c r="H179"/>
      <c r="I179"/>
    </row>
    <row r="180" spans="1:9" s="1" customFormat="1" ht="30" x14ac:dyDescent="0.25">
      <c r="A180" s="29">
        <v>1206010001</v>
      </c>
      <c r="B180" s="10">
        <v>61901</v>
      </c>
      <c r="C180" s="8" t="s">
        <v>150</v>
      </c>
      <c r="D180" s="9"/>
      <c r="E180" s="22"/>
      <c r="G180"/>
      <c r="H180"/>
      <c r="I180"/>
    </row>
    <row r="181" spans="1:9" s="1" customFormat="1" x14ac:dyDescent="0.25">
      <c r="A181" s="29">
        <v>1206010002</v>
      </c>
      <c r="B181" s="10">
        <v>62101</v>
      </c>
      <c r="C181" s="8" t="s">
        <v>6</v>
      </c>
      <c r="D181" s="58">
        <v>55460</v>
      </c>
      <c r="E181" s="22"/>
      <c r="G181"/>
      <c r="H181"/>
      <c r="I181"/>
    </row>
    <row r="182" spans="1:9" s="1" customFormat="1" x14ac:dyDescent="0.25">
      <c r="A182" s="29">
        <v>1206010002</v>
      </c>
      <c r="B182" s="10">
        <v>62301</v>
      </c>
      <c r="C182" s="8" t="s">
        <v>151</v>
      </c>
      <c r="D182" s="9"/>
      <c r="E182" s="22"/>
      <c r="G182"/>
      <c r="H182"/>
      <c r="I182"/>
    </row>
    <row r="183" spans="1:9" s="1" customFormat="1" x14ac:dyDescent="0.25">
      <c r="A183" s="29">
        <v>1206010003</v>
      </c>
      <c r="B183" s="10">
        <v>64101</v>
      </c>
      <c r="C183" s="8" t="s">
        <v>152</v>
      </c>
      <c r="D183" s="9"/>
      <c r="E183" s="22"/>
      <c r="G183"/>
      <c r="H183"/>
      <c r="I183"/>
    </row>
    <row r="184" spans="1:9" s="1" customFormat="1" x14ac:dyDescent="0.25">
      <c r="A184" s="29"/>
      <c r="B184" s="56">
        <v>64701</v>
      </c>
      <c r="C184" s="57" t="s">
        <v>360</v>
      </c>
      <c r="D184" s="58">
        <v>20549.97</v>
      </c>
      <c r="E184" s="22"/>
      <c r="G184"/>
      <c r="H184"/>
      <c r="I184"/>
    </row>
    <row r="185" spans="1:9" s="1" customFormat="1" x14ac:dyDescent="0.25">
      <c r="A185" s="29">
        <v>1206010003</v>
      </c>
      <c r="B185" s="56">
        <v>64801</v>
      </c>
      <c r="C185" s="57" t="s">
        <v>153</v>
      </c>
      <c r="D185" s="58"/>
      <c r="E185" s="22"/>
      <c r="G185"/>
      <c r="H185"/>
      <c r="I185"/>
    </row>
    <row r="186" spans="1:9" s="1" customFormat="1" x14ac:dyDescent="0.25">
      <c r="A186" s="29">
        <v>1206010001</v>
      </c>
      <c r="B186" s="10">
        <v>65201</v>
      </c>
      <c r="C186" s="8" t="s">
        <v>154</v>
      </c>
      <c r="D186" s="9"/>
      <c r="E186" s="22"/>
      <c r="G186"/>
      <c r="H186"/>
      <c r="I186"/>
    </row>
    <row r="187" spans="1:9" s="1" customFormat="1" x14ac:dyDescent="0.25">
      <c r="A187" s="29">
        <v>1206010001</v>
      </c>
      <c r="B187" s="10">
        <v>65401</v>
      </c>
      <c r="C187" s="8" t="s">
        <v>155</v>
      </c>
      <c r="D187" s="9"/>
      <c r="E187" s="22"/>
      <c r="G187"/>
      <c r="H187"/>
      <c r="I187"/>
    </row>
    <row r="188" spans="1:9" s="1" customFormat="1" x14ac:dyDescent="0.25">
      <c r="A188" s="29">
        <v>1206010006</v>
      </c>
      <c r="B188" s="10">
        <v>65501</v>
      </c>
      <c r="C188" s="8" t="s">
        <v>156</v>
      </c>
      <c r="D188" s="9"/>
      <c r="E188" s="22"/>
      <c r="G188"/>
      <c r="H188"/>
      <c r="I188"/>
    </row>
    <row r="189" spans="1:9" s="1" customFormat="1" x14ac:dyDescent="0.25">
      <c r="A189" s="29">
        <v>1206010001</v>
      </c>
      <c r="B189" s="10">
        <v>65601</v>
      </c>
      <c r="C189" s="8" t="s">
        <v>157</v>
      </c>
      <c r="D189" s="9"/>
      <c r="E189" s="22"/>
      <c r="G189"/>
      <c r="H189"/>
      <c r="I189"/>
    </row>
    <row r="190" spans="1:9" s="1" customFormat="1" x14ac:dyDescent="0.25">
      <c r="A190" s="29">
        <v>1206010008</v>
      </c>
      <c r="B190" s="10">
        <v>65701</v>
      </c>
      <c r="C190" s="8" t="s">
        <v>5</v>
      </c>
      <c r="D190" s="9"/>
      <c r="E190" s="22"/>
      <c r="G190"/>
      <c r="H190"/>
      <c r="I190"/>
    </row>
    <row r="191" spans="1:9" s="1" customFormat="1" x14ac:dyDescent="0.25">
      <c r="A191" s="29">
        <v>1206010001</v>
      </c>
      <c r="B191" s="10">
        <v>65801</v>
      </c>
      <c r="C191" s="8" t="s">
        <v>158</v>
      </c>
      <c r="D191" s="9"/>
      <c r="E191" s="22"/>
      <c r="G191"/>
      <c r="H191"/>
      <c r="I191"/>
    </row>
    <row r="192" spans="1:9" s="1" customFormat="1" x14ac:dyDescent="0.25">
      <c r="A192" s="29">
        <v>1206980001</v>
      </c>
      <c r="B192" s="10">
        <v>66201</v>
      </c>
      <c r="C192" s="8" t="s">
        <v>8</v>
      </c>
      <c r="D192" s="9"/>
      <c r="E192" s="22"/>
      <c r="G192"/>
      <c r="H192"/>
      <c r="I192"/>
    </row>
    <row r="193" spans="1:9" s="1" customFormat="1" x14ac:dyDescent="0.25">
      <c r="A193" s="29">
        <v>1208010003</v>
      </c>
      <c r="B193" s="10">
        <v>68301</v>
      </c>
      <c r="C193" s="8" t="s">
        <v>159</v>
      </c>
      <c r="D193" s="9"/>
      <c r="E193" s="22"/>
      <c r="G193"/>
      <c r="H193"/>
      <c r="I193"/>
    </row>
    <row r="194" spans="1:9" s="1" customFormat="1" x14ac:dyDescent="0.25">
      <c r="A194" s="29">
        <v>1206020002</v>
      </c>
      <c r="B194" s="10">
        <v>69201</v>
      </c>
      <c r="C194" s="8" t="s">
        <v>160</v>
      </c>
      <c r="D194" s="9"/>
      <c r="E194" s="22"/>
      <c r="G194"/>
      <c r="H194"/>
      <c r="I194"/>
    </row>
    <row r="195" spans="1:9" s="1" customFormat="1" x14ac:dyDescent="0.25">
      <c r="A195" s="29">
        <v>1206980004</v>
      </c>
      <c r="B195" s="10">
        <v>69502</v>
      </c>
      <c r="C195" s="8" t="s">
        <v>7</v>
      </c>
      <c r="D195" s="9"/>
      <c r="E195" s="22"/>
      <c r="G195"/>
      <c r="H195"/>
      <c r="I195"/>
    </row>
    <row r="196" spans="1:9" s="1" customFormat="1" x14ac:dyDescent="0.25">
      <c r="A196" s="30"/>
      <c r="B196" s="11">
        <v>7</v>
      </c>
      <c r="C196" s="5" t="s">
        <v>139</v>
      </c>
      <c r="D196" s="12">
        <f>SUM(D197:D198)</f>
        <v>0</v>
      </c>
      <c r="E196" s="28"/>
      <c r="G196"/>
      <c r="H196"/>
      <c r="I196"/>
    </row>
    <row r="197" spans="1:9" s="1" customFormat="1" ht="30" x14ac:dyDescent="0.25">
      <c r="A197" s="30" t="s">
        <v>262</v>
      </c>
      <c r="B197" s="13">
        <v>71201</v>
      </c>
      <c r="C197" s="14" t="s">
        <v>140</v>
      </c>
      <c r="D197" s="27"/>
      <c r="E197" s="28"/>
      <c r="G197"/>
      <c r="H197"/>
      <c r="I197"/>
    </row>
    <row r="198" spans="1:9" s="1" customFormat="1" x14ac:dyDescent="0.25">
      <c r="A198" s="30" t="s">
        <v>263</v>
      </c>
      <c r="B198" s="13">
        <v>71501</v>
      </c>
      <c r="C198" s="14" t="s">
        <v>141</v>
      </c>
      <c r="D198" s="27"/>
      <c r="E198" s="28"/>
      <c r="G198"/>
      <c r="H198"/>
      <c r="I198"/>
    </row>
    <row r="199" spans="1:9" s="1" customFormat="1" x14ac:dyDescent="0.25">
      <c r="A199" s="31"/>
      <c r="B199" s="11"/>
      <c r="C199" s="15"/>
      <c r="D199" s="6">
        <f>+D176+D196</f>
        <v>76009.97</v>
      </c>
      <c r="E199" s="21"/>
      <c r="G199"/>
      <c r="H199"/>
      <c r="I199"/>
    </row>
    <row r="200" spans="1:9" s="1" customFormat="1" x14ac:dyDescent="0.25">
      <c r="A200"/>
      <c r="B200"/>
      <c r="C200" s="2" t="s">
        <v>351</v>
      </c>
      <c r="E200" s="23"/>
      <c r="G200"/>
      <c r="H200"/>
      <c r="I200"/>
    </row>
    <row r="201" spans="1:9" s="1" customFormat="1" x14ac:dyDescent="0.25">
      <c r="A201"/>
      <c r="B201"/>
      <c r="C201" s="2" t="s">
        <v>9</v>
      </c>
      <c r="E201" s="23"/>
      <c r="G201"/>
      <c r="H201"/>
      <c r="I201"/>
    </row>
    <row r="202" spans="1:9" s="1" customFormat="1" x14ac:dyDescent="0.25">
      <c r="A202"/>
      <c r="B202"/>
      <c r="C202"/>
      <c r="D202"/>
      <c r="E202" s="24"/>
      <c r="G202"/>
      <c r="H202"/>
      <c r="I202"/>
    </row>
    <row r="203" spans="1:9" s="1" customFormat="1" x14ac:dyDescent="0.25">
      <c r="A203"/>
      <c r="B203"/>
      <c r="C203"/>
      <c r="D203"/>
      <c r="G203"/>
      <c r="H203"/>
      <c r="I203"/>
    </row>
    <row r="204" spans="1:9" s="1" customFormat="1" x14ac:dyDescent="0.25">
      <c r="A204"/>
      <c r="B204"/>
      <c r="C204"/>
      <c r="D204"/>
      <c r="G204"/>
      <c r="H204"/>
      <c r="I204"/>
    </row>
  </sheetData>
  <mergeCells count="7">
    <mergeCell ref="B8:C8"/>
    <mergeCell ref="A1:E1"/>
    <mergeCell ref="A2:E2"/>
    <mergeCell ref="A3:E3"/>
    <mergeCell ref="A4:E4"/>
    <mergeCell ref="A5:E5"/>
    <mergeCell ref="A6:E6"/>
  </mergeCells>
  <pageMargins left="0.7" right="0.7" top="0.75" bottom="0.75" header="0.3" footer="0.3"/>
  <pageSetup scale="77" orientation="portrait" r:id="rId1"/>
  <rowBreaks count="1" manualBreakCount="1">
    <brk id="16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2" width="32.140625" customWidth="1"/>
    <col min="3" max="3" width="17.42578125" customWidth="1"/>
    <col min="4" max="4" width="14.85546875" customWidth="1"/>
    <col min="5" max="5" width="11.42578125" customWidth="1"/>
    <col min="7" max="7" width="12.140625" customWidth="1"/>
  </cols>
  <sheetData>
    <row r="4" spans="1:7" ht="41.25" customHeight="1" x14ac:dyDescent="0.25">
      <c r="A4" s="50" t="s">
        <v>330</v>
      </c>
      <c r="B4" s="50" t="s">
        <v>331</v>
      </c>
      <c r="C4" s="50" t="s">
        <v>332</v>
      </c>
      <c r="D4" s="51" t="s">
        <v>333</v>
      </c>
      <c r="E4" s="50" t="s">
        <v>334</v>
      </c>
      <c r="F4" s="50" t="s">
        <v>335</v>
      </c>
      <c r="G4" s="50" t="s">
        <v>336</v>
      </c>
    </row>
    <row r="5" spans="1:7" ht="62.25" customHeight="1" x14ac:dyDescent="0.25">
      <c r="A5" s="29">
        <v>2087</v>
      </c>
      <c r="B5" s="8" t="s">
        <v>337</v>
      </c>
      <c r="C5" s="48" t="s">
        <v>344</v>
      </c>
      <c r="D5" s="8" t="s">
        <v>338</v>
      </c>
      <c r="E5" s="10" t="s">
        <v>339</v>
      </c>
      <c r="F5" s="10" t="s">
        <v>340</v>
      </c>
      <c r="G5" s="49">
        <v>270652.33</v>
      </c>
    </row>
    <row r="8" spans="1:7" x14ac:dyDescent="0.25">
      <c r="A8" t="s">
        <v>341</v>
      </c>
    </row>
    <row r="9" spans="1:7" x14ac:dyDescent="0.25">
      <c r="A9" t="s">
        <v>345</v>
      </c>
    </row>
    <row r="10" spans="1:7" x14ac:dyDescent="0.25">
      <c r="A10" t="s">
        <v>346</v>
      </c>
    </row>
    <row r="11" spans="1:7" x14ac:dyDescent="0.25">
      <c r="A11" t="s">
        <v>342</v>
      </c>
    </row>
    <row r="12" spans="1:7" x14ac:dyDescent="0.25">
      <c r="A12" t="s">
        <v>347</v>
      </c>
    </row>
    <row r="13" spans="1:7" x14ac:dyDescent="0.25">
      <c r="A13" t="s">
        <v>348</v>
      </c>
    </row>
    <row r="14" spans="1:7" x14ac:dyDescent="0.25">
      <c r="A14" t="s">
        <v>343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Estado de Resultado Agosto 21</vt:lpstr>
      <vt:lpstr>Balance General Agosto 21</vt:lpstr>
      <vt:lpstr>Bsalance General Marzo</vt:lpstr>
      <vt:lpstr>estado de resultado  marzo</vt:lpstr>
      <vt:lpstr>Hoja1</vt:lpstr>
      <vt:lpstr>'estado de resultado  marzo'!Área_de_impresión</vt:lpstr>
      <vt:lpstr>'Estado de Resultado Agosto 21'!Área_de_impresión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Pimentel Elisa</dc:creator>
  <cp:lastModifiedBy>Amos ap. Perez</cp:lastModifiedBy>
  <cp:lastPrinted>2021-09-03T17:01:37Z</cp:lastPrinted>
  <dcterms:created xsi:type="dcterms:W3CDTF">2018-04-03T17:21:59Z</dcterms:created>
  <dcterms:modified xsi:type="dcterms:W3CDTF">2024-09-03T19:46:30Z</dcterms:modified>
</cp:coreProperties>
</file>